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ate1904="1" codeName="ThisWorkbook" autoCompressPictures="0"/>
  <bookViews>
    <workbookView xWindow="0" yWindow="456" windowWidth="17544" windowHeight="13176" tabRatio="500"/>
  </bookViews>
  <sheets>
    <sheet name="CNC" sheetId="1" r:id="rId1"/>
    <sheet name="INFO" sheetId="2" r:id="rId2"/>
  </sheets>
  <definedNames>
    <definedName name="_xlnm.Print_Area" localSheetId="0">CNC!$A$1:$K$35</definedName>
    <definedName name="_xlnm.Print_Area" localSheetId="1">INFO!$A$2:$C$29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M91" i="1" l="1"/>
  <c r="B2" i="1"/>
  <c r="B30" i="2"/>
  <c r="B28" i="2"/>
  <c r="B27" i="2"/>
  <c r="B25" i="2"/>
  <c r="B24" i="2"/>
  <c r="B22" i="2"/>
  <c r="B21" i="2"/>
  <c r="B19" i="2"/>
  <c r="B18" i="2"/>
  <c r="B16" i="2"/>
  <c r="B15" i="2"/>
  <c r="B13" i="2"/>
  <c r="B12" i="2"/>
  <c r="B10" i="2"/>
  <c r="B9" i="2"/>
  <c r="B7" i="2"/>
  <c r="B6" i="2"/>
  <c r="B4" i="2"/>
  <c r="B3" i="2"/>
  <c r="M4" i="1"/>
  <c r="M7" i="1"/>
  <c r="M8" i="1"/>
  <c r="M9" i="1"/>
  <c r="M10" i="1"/>
  <c r="M11" i="1"/>
  <c r="M12" i="1"/>
  <c r="M13" i="1"/>
  <c r="M17" i="1"/>
  <c r="M18" i="1"/>
  <c r="M19" i="1"/>
  <c r="M20" i="1"/>
  <c r="M21" i="1"/>
  <c r="M22" i="1"/>
  <c r="M23" i="1"/>
  <c r="M24"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60" i="1"/>
  <c r="M61" i="1"/>
  <c r="M62" i="1"/>
  <c r="M63" i="1"/>
  <c r="M64" i="1"/>
  <c r="M66" i="1"/>
  <c r="M67" i="1"/>
  <c r="B20" i="1" s="1"/>
  <c r="M68" i="1"/>
  <c r="M69" i="1"/>
  <c r="M70" i="1"/>
  <c r="M71" i="1"/>
  <c r="M72" i="1"/>
  <c r="M73" i="1"/>
  <c r="M74" i="1"/>
  <c r="M75" i="1"/>
  <c r="B28" i="1" s="1"/>
  <c r="M76" i="1"/>
  <c r="M77" i="1"/>
  <c r="B30" i="1" s="1"/>
  <c r="M78" i="1"/>
  <c r="M79" i="1"/>
  <c r="M80" i="1"/>
  <c r="M82" i="1"/>
  <c r="M83" i="1"/>
  <c r="M84" i="1"/>
  <c r="M85" i="1"/>
  <c r="M86" i="1"/>
  <c r="M87" i="1"/>
  <c r="M88" i="1"/>
  <c r="M93" i="1"/>
  <c r="M3" i="1"/>
  <c r="BT110" i="1"/>
  <c r="AY157" i="1"/>
  <c r="AZ157" i="1"/>
  <c r="BC157" i="1"/>
  <c r="AY158" i="1"/>
  <c r="AZ158" i="1"/>
  <c r="BA158" i="1"/>
  <c r="BB158" i="1"/>
  <c r="BC158" i="1"/>
  <c r="AY159" i="1"/>
  <c r="AZ159" i="1"/>
  <c r="BC159" i="1"/>
  <c r="AY160" i="1"/>
  <c r="AZ160" i="1"/>
  <c r="BC160" i="1"/>
  <c r="AY2" i="1"/>
  <c r="AZ2" i="1"/>
  <c r="BC2" i="1"/>
  <c r="AY3" i="1"/>
  <c r="AZ3" i="1"/>
  <c r="BC3" i="1"/>
  <c r="AY4" i="1"/>
  <c r="AZ4" i="1"/>
  <c r="BC4" i="1"/>
  <c r="AY5" i="1"/>
  <c r="AZ5" i="1"/>
  <c r="BC5" i="1"/>
  <c r="AY6" i="1"/>
  <c r="AZ6" i="1"/>
  <c r="BC6" i="1"/>
  <c r="AY7" i="1"/>
  <c r="AZ7" i="1"/>
  <c r="BC7" i="1"/>
  <c r="AY8" i="1"/>
  <c r="AZ8" i="1"/>
  <c r="BC8" i="1"/>
  <c r="AY9" i="1"/>
  <c r="AZ9" i="1"/>
  <c r="BC9" i="1"/>
  <c r="AY10" i="1"/>
  <c r="AZ10" i="1"/>
  <c r="BC10" i="1"/>
  <c r="AY11" i="1"/>
  <c r="AZ11" i="1"/>
  <c r="BC11" i="1"/>
  <c r="AY12" i="1"/>
  <c r="AZ12" i="1"/>
  <c r="BC12" i="1"/>
  <c r="AY13" i="1"/>
  <c r="AZ13" i="1"/>
  <c r="BC13" i="1"/>
  <c r="AY14" i="1"/>
  <c r="AZ14" i="1"/>
  <c r="BC14" i="1"/>
  <c r="AY15" i="1"/>
  <c r="AZ15" i="1"/>
  <c r="BC15" i="1"/>
  <c r="AY16" i="1"/>
  <c r="AZ16" i="1"/>
  <c r="BC16" i="1"/>
  <c r="AY17" i="1"/>
  <c r="AZ17" i="1"/>
  <c r="BC17" i="1"/>
  <c r="AY18" i="1"/>
  <c r="AZ18" i="1"/>
  <c r="BC18" i="1"/>
  <c r="AY19" i="1"/>
  <c r="AZ19" i="1"/>
  <c r="BC19" i="1"/>
  <c r="AY20" i="1"/>
  <c r="AZ20" i="1"/>
  <c r="BC20" i="1"/>
  <c r="AY21" i="1"/>
  <c r="AZ21" i="1"/>
  <c r="BC21" i="1"/>
  <c r="AY22" i="1"/>
  <c r="AZ22" i="1"/>
  <c r="BC22" i="1"/>
  <c r="AY23" i="1"/>
  <c r="AZ23" i="1"/>
  <c r="BC23" i="1"/>
  <c r="AY24" i="1"/>
  <c r="AZ24" i="1"/>
  <c r="BC24" i="1"/>
  <c r="BB25" i="1"/>
  <c r="AY25" i="1"/>
  <c r="AZ25" i="1"/>
  <c r="BA25" i="1"/>
  <c r="BC25" i="1"/>
  <c r="AY26" i="1"/>
  <c r="AZ26" i="1"/>
  <c r="BC26" i="1"/>
  <c r="BB27" i="1"/>
  <c r="AY27" i="1"/>
  <c r="AZ27" i="1"/>
  <c r="BA27" i="1"/>
  <c r="BC27" i="1"/>
  <c r="BB28" i="1"/>
  <c r="AY28" i="1"/>
  <c r="AZ28" i="1"/>
  <c r="BA28" i="1"/>
  <c r="BC28" i="1"/>
  <c r="BB29" i="1"/>
  <c r="AY29" i="1"/>
  <c r="AZ29" i="1"/>
  <c r="BA29" i="1"/>
  <c r="BC29" i="1"/>
  <c r="AY30" i="1"/>
  <c r="AZ30" i="1"/>
  <c r="BC30" i="1"/>
  <c r="AY31" i="1"/>
  <c r="AZ31" i="1"/>
  <c r="BC31" i="1"/>
  <c r="AY32" i="1"/>
  <c r="AZ32" i="1"/>
  <c r="BC32" i="1"/>
  <c r="AY33" i="1"/>
  <c r="AZ33" i="1"/>
  <c r="BC33" i="1"/>
  <c r="AY34" i="1"/>
  <c r="AZ34" i="1"/>
  <c r="BC34" i="1"/>
  <c r="AY35" i="1"/>
  <c r="AZ35" i="1"/>
  <c r="BC35" i="1"/>
  <c r="AY36" i="1"/>
  <c r="AZ36" i="1"/>
  <c r="BC36" i="1"/>
  <c r="AY37" i="1"/>
  <c r="AZ37" i="1"/>
  <c r="BC37" i="1"/>
  <c r="AY38" i="1"/>
  <c r="AZ38" i="1"/>
  <c r="BC38" i="1"/>
  <c r="AY39" i="1"/>
  <c r="AZ39" i="1"/>
  <c r="BC39" i="1"/>
  <c r="AY40" i="1"/>
  <c r="AZ40" i="1"/>
  <c r="BC40" i="1"/>
  <c r="AY41" i="1"/>
  <c r="AZ41" i="1"/>
  <c r="BC41" i="1"/>
  <c r="AY42" i="1"/>
  <c r="AZ42" i="1"/>
  <c r="BC42" i="1"/>
  <c r="AY43" i="1"/>
  <c r="AZ43" i="1"/>
  <c r="BC43" i="1"/>
  <c r="AY44" i="1"/>
  <c r="AZ44" i="1"/>
  <c r="BC44" i="1"/>
  <c r="AY45" i="1"/>
  <c r="AZ45" i="1"/>
  <c r="BC45" i="1"/>
  <c r="AY46" i="1"/>
  <c r="AZ46" i="1"/>
  <c r="BC46" i="1"/>
  <c r="AY47" i="1"/>
  <c r="AZ47" i="1"/>
  <c r="BC47" i="1"/>
  <c r="AY48" i="1"/>
  <c r="AZ48" i="1"/>
  <c r="BC48" i="1"/>
  <c r="AY49" i="1"/>
  <c r="AZ49" i="1"/>
  <c r="BC49" i="1"/>
  <c r="AY50" i="1"/>
  <c r="AZ50" i="1"/>
  <c r="BC50" i="1"/>
  <c r="AY51" i="1"/>
  <c r="AZ51" i="1"/>
  <c r="BC51" i="1"/>
  <c r="AY52" i="1"/>
  <c r="AZ52" i="1"/>
  <c r="BC52" i="1"/>
  <c r="AY53" i="1"/>
  <c r="AZ53" i="1"/>
  <c r="BC53" i="1"/>
  <c r="AY54" i="1"/>
  <c r="AZ54" i="1"/>
  <c r="BC54" i="1"/>
  <c r="AY55" i="1"/>
  <c r="AZ55" i="1"/>
  <c r="BC55" i="1"/>
  <c r="AY56" i="1"/>
  <c r="AZ56" i="1"/>
  <c r="BC56" i="1"/>
  <c r="AY57" i="1"/>
  <c r="AZ57" i="1"/>
  <c r="BC57" i="1"/>
  <c r="AY58" i="1"/>
  <c r="AZ58" i="1"/>
  <c r="BC58" i="1"/>
  <c r="AY59" i="1"/>
  <c r="AZ59" i="1"/>
  <c r="BC59" i="1"/>
  <c r="AY60" i="1"/>
  <c r="AZ60" i="1"/>
  <c r="BC60" i="1"/>
  <c r="AY61" i="1"/>
  <c r="AZ61" i="1"/>
  <c r="BC61" i="1"/>
  <c r="AY62" i="1"/>
  <c r="AZ62" i="1"/>
  <c r="BC62" i="1"/>
  <c r="AY63" i="1"/>
  <c r="AZ63" i="1"/>
  <c r="BC63" i="1"/>
  <c r="AY64" i="1"/>
  <c r="AZ64" i="1"/>
  <c r="BC64" i="1"/>
  <c r="AY65" i="1"/>
  <c r="AZ65" i="1"/>
  <c r="BC65" i="1"/>
  <c r="AY66" i="1"/>
  <c r="AZ66" i="1"/>
  <c r="BC66" i="1"/>
  <c r="AY67" i="1"/>
  <c r="AZ67" i="1"/>
  <c r="BC67" i="1"/>
  <c r="AY68" i="1"/>
  <c r="AZ68" i="1"/>
  <c r="BC68" i="1"/>
  <c r="AY69" i="1"/>
  <c r="AZ69" i="1"/>
  <c r="BC69" i="1"/>
  <c r="AY70" i="1"/>
  <c r="AZ70" i="1"/>
  <c r="BC70" i="1"/>
  <c r="AY71" i="1"/>
  <c r="AZ71" i="1"/>
  <c r="BC71" i="1"/>
  <c r="AY72" i="1"/>
  <c r="AZ72" i="1"/>
  <c r="BC72" i="1"/>
  <c r="AY73" i="1"/>
  <c r="AZ73" i="1"/>
  <c r="BC73" i="1"/>
  <c r="AY74" i="1"/>
  <c r="AZ74" i="1"/>
  <c r="BA74" i="1"/>
  <c r="BC74" i="1"/>
  <c r="AY75" i="1"/>
  <c r="AZ75" i="1"/>
  <c r="BA75" i="1"/>
  <c r="BC75" i="1"/>
  <c r="AY76" i="1"/>
  <c r="AZ76" i="1"/>
  <c r="BA76" i="1"/>
  <c r="BC76" i="1"/>
  <c r="AY77" i="1"/>
  <c r="AZ77" i="1"/>
  <c r="BC77" i="1"/>
  <c r="AY78" i="1"/>
  <c r="AZ78" i="1"/>
  <c r="BC78" i="1"/>
  <c r="AY79" i="1"/>
  <c r="AZ79" i="1"/>
  <c r="BC79" i="1"/>
  <c r="AY80" i="1"/>
  <c r="AZ80" i="1"/>
  <c r="BC80" i="1"/>
  <c r="AY81" i="1"/>
  <c r="AZ81" i="1"/>
  <c r="BC81" i="1"/>
  <c r="AY82" i="1"/>
  <c r="AZ82" i="1"/>
  <c r="BC82" i="1"/>
  <c r="AY83" i="1"/>
  <c r="AZ83" i="1"/>
  <c r="BC83" i="1"/>
  <c r="AY84" i="1"/>
  <c r="AZ84" i="1"/>
  <c r="BC84" i="1"/>
  <c r="AY85" i="1"/>
  <c r="AZ85" i="1"/>
  <c r="BC85" i="1"/>
  <c r="AY86" i="1"/>
  <c r="AZ86" i="1"/>
  <c r="BC86" i="1"/>
  <c r="AY87" i="1"/>
  <c r="AZ87" i="1"/>
  <c r="BC87" i="1"/>
  <c r="AY88" i="1"/>
  <c r="AZ88" i="1"/>
  <c r="BC88" i="1"/>
  <c r="AY89" i="1"/>
  <c r="AZ89" i="1"/>
  <c r="BC89" i="1"/>
  <c r="AY90" i="1"/>
  <c r="AZ90" i="1"/>
  <c r="BC90" i="1"/>
  <c r="AY91" i="1"/>
  <c r="AZ91" i="1"/>
  <c r="BC91" i="1"/>
  <c r="AY92" i="1"/>
  <c r="AZ92" i="1"/>
  <c r="BC92" i="1"/>
  <c r="AY93" i="1"/>
  <c r="AZ93" i="1"/>
  <c r="BC93" i="1"/>
  <c r="AY94" i="1"/>
  <c r="AZ94" i="1"/>
  <c r="BC94" i="1"/>
  <c r="AY95" i="1"/>
  <c r="AZ95" i="1"/>
  <c r="BA95" i="1"/>
  <c r="BB95" i="1"/>
  <c r="BC95" i="1"/>
  <c r="AY96" i="1"/>
  <c r="AZ96" i="1"/>
  <c r="BA96" i="1"/>
  <c r="BB96" i="1"/>
  <c r="BC96" i="1"/>
  <c r="AY97" i="1"/>
  <c r="AZ97" i="1"/>
  <c r="BA97" i="1"/>
  <c r="BC97" i="1"/>
  <c r="AY98" i="1"/>
  <c r="AZ98" i="1"/>
  <c r="BA98" i="1"/>
  <c r="BB98" i="1"/>
  <c r="BC98" i="1"/>
  <c r="AY99" i="1"/>
  <c r="AZ99" i="1"/>
  <c r="BC99" i="1"/>
  <c r="AY100" i="1"/>
  <c r="AZ100" i="1"/>
  <c r="BC100" i="1"/>
  <c r="AY101" i="1"/>
  <c r="AZ101" i="1"/>
  <c r="BC101" i="1"/>
  <c r="AY102" i="1"/>
  <c r="AZ102" i="1"/>
  <c r="BA102" i="1"/>
  <c r="BC102" i="1"/>
  <c r="AY103" i="1"/>
  <c r="AZ103" i="1"/>
  <c r="BC103" i="1"/>
  <c r="AY104" i="1"/>
  <c r="AZ104" i="1"/>
  <c r="BC104" i="1"/>
  <c r="AY105" i="1"/>
  <c r="AZ105" i="1"/>
  <c r="BC105" i="1"/>
  <c r="AY106" i="1"/>
  <c r="AZ106" i="1"/>
  <c r="BA106" i="1"/>
  <c r="BC106" i="1"/>
  <c r="AY107" i="1"/>
  <c r="AZ107" i="1"/>
  <c r="BA107" i="1"/>
  <c r="BB107" i="1"/>
  <c r="BC107" i="1"/>
  <c r="AY108" i="1"/>
  <c r="AZ108" i="1"/>
  <c r="BC108" i="1"/>
  <c r="AY109" i="1"/>
  <c r="AZ109" i="1"/>
  <c r="BC109" i="1"/>
  <c r="AY110" i="1"/>
  <c r="AZ110" i="1"/>
  <c r="BC110" i="1"/>
  <c r="AY111" i="1"/>
  <c r="AZ111" i="1"/>
  <c r="BC111" i="1"/>
  <c r="AY112" i="1"/>
  <c r="AZ112" i="1"/>
  <c r="BC112" i="1"/>
  <c r="AY113" i="1"/>
  <c r="AZ113" i="1"/>
  <c r="BA113" i="1"/>
  <c r="BB113" i="1"/>
  <c r="BC113" i="1"/>
  <c r="AY114" i="1"/>
  <c r="AZ114" i="1"/>
  <c r="BA114" i="1"/>
  <c r="BB114" i="1"/>
  <c r="BC114" i="1"/>
  <c r="AY115" i="1"/>
  <c r="AZ115" i="1"/>
  <c r="BA115" i="1"/>
  <c r="BC115" i="1"/>
  <c r="AY116" i="1"/>
  <c r="AZ116" i="1"/>
  <c r="BA116" i="1"/>
  <c r="BB116" i="1"/>
  <c r="BC116" i="1"/>
  <c r="AY117" i="1"/>
  <c r="AZ117" i="1"/>
  <c r="BA117" i="1"/>
  <c r="BB117" i="1"/>
  <c r="BC117" i="1"/>
  <c r="AY118" i="1"/>
  <c r="AZ118" i="1"/>
  <c r="BA118" i="1"/>
  <c r="BB118" i="1"/>
  <c r="BC118" i="1"/>
  <c r="AY119" i="1"/>
  <c r="AZ119" i="1"/>
  <c r="BA119" i="1"/>
  <c r="BC119" i="1"/>
  <c r="AY120" i="1"/>
  <c r="AZ120" i="1"/>
  <c r="BC120" i="1"/>
  <c r="AY121" i="1"/>
  <c r="AZ121" i="1"/>
  <c r="BC121" i="1"/>
  <c r="AY122" i="1"/>
  <c r="AZ122" i="1"/>
  <c r="BC122" i="1"/>
  <c r="AY123" i="1"/>
  <c r="AZ123" i="1"/>
  <c r="BC123" i="1"/>
  <c r="AY124" i="1"/>
  <c r="AZ124" i="1"/>
  <c r="BC124" i="1"/>
  <c r="AY125" i="1"/>
  <c r="AZ125" i="1"/>
  <c r="BC125" i="1"/>
  <c r="AY126" i="1"/>
  <c r="AZ126" i="1"/>
  <c r="BC126" i="1"/>
  <c r="AY127" i="1"/>
  <c r="AZ127" i="1"/>
  <c r="BA127" i="1"/>
  <c r="BC127" i="1"/>
  <c r="AY128" i="1"/>
  <c r="AZ128" i="1"/>
  <c r="BA128" i="1"/>
  <c r="BC128" i="1"/>
  <c r="AY129" i="1"/>
  <c r="AZ129" i="1"/>
  <c r="BA129" i="1"/>
  <c r="BC129" i="1"/>
  <c r="AY130" i="1"/>
  <c r="AZ130" i="1"/>
  <c r="BA130" i="1"/>
  <c r="BC130" i="1"/>
  <c r="AY131" i="1"/>
  <c r="AZ131" i="1"/>
  <c r="BC131" i="1"/>
  <c r="AY132" i="1"/>
  <c r="AZ132" i="1"/>
  <c r="BC132" i="1"/>
  <c r="AY133" i="1"/>
  <c r="AZ133" i="1"/>
  <c r="BC133" i="1"/>
  <c r="AY134" i="1"/>
  <c r="AZ134" i="1"/>
  <c r="BC134" i="1"/>
  <c r="AY135" i="1"/>
  <c r="AZ135" i="1"/>
  <c r="BC135" i="1"/>
  <c r="AY136" i="1"/>
  <c r="AZ136" i="1"/>
  <c r="BC136" i="1"/>
  <c r="AY137" i="1"/>
  <c r="AZ137" i="1"/>
  <c r="BC137" i="1"/>
  <c r="AY138" i="1"/>
  <c r="AZ138" i="1"/>
  <c r="BC138" i="1"/>
  <c r="AY139" i="1"/>
  <c r="AZ139" i="1"/>
  <c r="BC139" i="1"/>
  <c r="AY140" i="1"/>
  <c r="AZ140" i="1"/>
  <c r="BC140" i="1"/>
  <c r="AY141" i="1"/>
  <c r="AZ141" i="1"/>
  <c r="BC141" i="1"/>
  <c r="AY142" i="1"/>
  <c r="AZ142" i="1"/>
  <c r="BC142" i="1"/>
  <c r="AY143" i="1"/>
  <c r="AZ143" i="1"/>
  <c r="BC143" i="1"/>
  <c r="AY144" i="1"/>
  <c r="AZ144" i="1"/>
  <c r="BC144" i="1"/>
  <c r="AY145" i="1"/>
  <c r="AZ145" i="1"/>
  <c r="BC145" i="1"/>
  <c r="AY146" i="1"/>
  <c r="AZ146" i="1"/>
  <c r="BC146" i="1"/>
  <c r="AY147" i="1"/>
  <c r="AZ147" i="1"/>
  <c r="BC147" i="1"/>
  <c r="AY148" i="1"/>
  <c r="AZ148" i="1"/>
  <c r="BC148" i="1"/>
  <c r="AY149" i="1"/>
  <c r="AZ149" i="1"/>
  <c r="BC149" i="1"/>
  <c r="AY150" i="1"/>
  <c r="AZ150" i="1"/>
  <c r="BC150" i="1"/>
  <c r="AY151" i="1"/>
  <c r="AZ151" i="1"/>
  <c r="BC151" i="1"/>
  <c r="AY152" i="1"/>
  <c r="AZ152" i="1"/>
  <c r="BC152" i="1"/>
  <c r="AY153" i="1"/>
  <c r="AZ153" i="1"/>
  <c r="BA153" i="1"/>
  <c r="BC153" i="1"/>
  <c r="AY154" i="1"/>
  <c r="AZ154" i="1"/>
  <c r="BA154" i="1"/>
  <c r="BC154" i="1"/>
  <c r="AY155" i="1"/>
  <c r="AZ155" i="1"/>
  <c r="BA155" i="1"/>
  <c r="BC155" i="1"/>
  <c r="AY156" i="1"/>
  <c r="AZ156" i="1"/>
  <c r="BC156" i="1"/>
  <c r="AY161" i="1"/>
  <c r="AZ161" i="1"/>
  <c r="BA161" i="1"/>
  <c r="BB161" i="1"/>
  <c r="BC161" i="1"/>
  <c r="AY162" i="1"/>
  <c r="AZ162" i="1"/>
  <c r="BC162" i="1"/>
  <c r="AY163" i="1"/>
  <c r="AZ163" i="1"/>
  <c r="BC163" i="1"/>
  <c r="AY164" i="1"/>
  <c r="AZ164" i="1"/>
  <c r="BC164" i="1"/>
  <c r="AY165" i="1"/>
  <c r="AZ165" i="1"/>
  <c r="BC165" i="1"/>
  <c r="AY166" i="1"/>
  <c r="AZ166" i="1"/>
  <c r="BC166" i="1"/>
  <c r="AY167" i="1"/>
  <c r="AZ167" i="1"/>
  <c r="BC167" i="1"/>
  <c r="AY168" i="1"/>
  <c r="AZ168" i="1"/>
  <c r="BC168" i="1"/>
  <c r="AY169" i="1"/>
  <c r="AZ169" i="1"/>
  <c r="BC169" i="1"/>
  <c r="AY170" i="1"/>
  <c r="AZ170" i="1"/>
  <c r="BC170" i="1"/>
  <c r="AY171" i="1"/>
  <c r="AZ171" i="1"/>
  <c r="BC171" i="1"/>
  <c r="AY172" i="1"/>
  <c r="AZ172" i="1"/>
  <c r="BC172" i="1"/>
  <c r="AY173" i="1"/>
  <c r="AZ173" i="1"/>
  <c r="BC173" i="1"/>
  <c r="AY174" i="1"/>
  <c r="AZ174" i="1"/>
  <c r="BC174" i="1"/>
  <c r="AY175" i="1"/>
  <c r="AZ175" i="1"/>
  <c r="BA175" i="1"/>
  <c r="BB175" i="1"/>
  <c r="BC175" i="1"/>
  <c r="AY176" i="1"/>
  <c r="AZ176" i="1"/>
  <c r="BC176" i="1"/>
  <c r="AY177" i="1"/>
  <c r="AZ177" i="1"/>
  <c r="BA177" i="1"/>
  <c r="BB177" i="1"/>
  <c r="BC177" i="1"/>
  <c r="BB178" i="1"/>
  <c r="AY178" i="1"/>
  <c r="AZ178" i="1"/>
  <c r="BA178" i="1"/>
  <c r="BC178" i="1"/>
  <c r="AY179" i="1"/>
  <c r="AZ179" i="1"/>
  <c r="BC179" i="1"/>
  <c r="AY180" i="1"/>
  <c r="AZ180" i="1"/>
  <c r="BA180" i="1"/>
  <c r="BC180" i="1"/>
  <c r="AY181" i="1"/>
  <c r="AZ181" i="1"/>
  <c r="BA181" i="1"/>
  <c r="BB181" i="1"/>
  <c r="BC181" i="1"/>
  <c r="BB182" i="1"/>
  <c r="AY182" i="1"/>
  <c r="AZ182" i="1"/>
  <c r="BA182" i="1"/>
  <c r="BC182" i="1"/>
  <c r="AY183" i="1"/>
  <c r="AZ183" i="1"/>
  <c r="BA183" i="1"/>
  <c r="BC183" i="1"/>
  <c r="AY184" i="1"/>
  <c r="AZ184" i="1"/>
  <c r="BA184" i="1"/>
  <c r="BC184" i="1"/>
  <c r="AY185" i="1"/>
  <c r="AZ185" i="1"/>
  <c r="BA185" i="1"/>
  <c r="BB185" i="1"/>
  <c r="BC185" i="1"/>
  <c r="AY186" i="1"/>
  <c r="AZ186" i="1"/>
  <c r="BC186" i="1"/>
  <c r="AY187" i="1"/>
  <c r="AZ187" i="1"/>
  <c r="BC187" i="1"/>
  <c r="AY188" i="1"/>
  <c r="AZ188" i="1"/>
  <c r="BC188" i="1"/>
  <c r="AY189" i="1"/>
  <c r="AZ189" i="1"/>
  <c r="BC189" i="1"/>
  <c r="AY190" i="1"/>
  <c r="AZ190" i="1"/>
  <c r="BC190" i="1"/>
  <c r="AY191" i="1"/>
  <c r="AZ191" i="1"/>
  <c r="BC191" i="1"/>
  <c r="AY192" i="1"/>
  <c r="AZ192" i="1"/>
  <c r="BC192" i="1"/>
  <c r="AY193" i="1"/>
  <c r="AZ193" i="1"/>
  <c r="BC193" i="1"/>
  <c r="BB194" i="1"/>
  <c r="AY194" i="1"/>
  <c r="AZ194" i="1"/>
  <c r="BA194" i="1"/>
  <c r="BC194" i="1"/>
  <c r="AY195" i="1"/>
  <c r="AZ195" i="1"/>
  <c r="BC195" i="1"/>
  <c r="BB196" i="1"/>
  <c r="AY196" i="1"/>
  <c r="AZ196" i="1"/>
  <c r="BA196" i="1"/>
  <c r="BC196" i="1"/>
  <c r="AY197" i="1"/>
  <c r="AZ197" i="1"/>
  <c r="BA197" i="1"/>
  <c r="BC197" i="1"/>
  <c r="AY198" i="1"/>
  <c r="AZ198" i="1"/>
  <c r="BC198" i="1"/>
  <c r="AY199" i="1"/>
  <c r="AZ199" i="1"/>
  <c r="BA199" i="1"/>
  <c r="BC199" i="1"/>
  <c r="AY200" i="1"/>
  <c r="AZ200" i="1"/>
  <c r="BA200" i="1"/>
  <c r="BB200" i="1"/>
  <c r="BC200" i="1"/>
  <c r="AY201" i="1"/>
  <c r="AZ201" i="1"/>
  <c r="BC201" i="1"/>
  <c r="AY202" i="1"/>
  <c r="AZ202" i="1"/>
  <c r="BA202" i="1"/>
  <c r="BB202" i="1"/>
  <c r="BC202" i="1"/>
  <c r="AY203" i="1"/>
  <c r="AZ203" i="1"/>
  <c r="BC203" i="1"/>
  <c r="AY204" i="1"/>
  <c r="AZ204" i="1"/>
  <c r="BC204" i="1"/>
  <c r="AY205" i="1"/>
  <c r="AZ205" i="1"/>
  <c r="BC205" i="1"/>
  <c r="AY206" i="1"/>
  <c r="AZ206" i="1"/>
  <c r="BA206" i="1"/>
  <c r="BC206" i="1"/>
  <c r="AY207" i="1"/>
  <c r="AZ207" i="1"/>
  <c r="BC207" i="1"/>
  <c r="AY208" i="1"/>
  <c r="AZ208" i="1"/>
  <c r="BC208" i="1"/>
  <c r="AY209" i="1"/>
  <c r="AZ209" i="1"/>
  <c r="BC209" i="1"/>
  <c r="AY210" i="1"/>
  <c r="AZ210" i="1"/>
  <c r="BC210" i="1"/>
  <c r="AY211" i="1"/>
  <c r="AZ211" i="1"/>
  <c r="BC211" i="1"/>
  <c r="AY212" i="1"/>
  <c r="AZ212" i="1"/>
  <c r="BC212" i="1"/>
  <c r="AY213" i="1"/>
  <c r="AZ213" i="1"/>
  <c r="BC213" i="1"/>
  <c r="AY214" i="1"/>
  <c r="AZ214" i="1"/>
  <c r="BC214" i="1"/>
  <c r="AY215" i="1"/>
  <c r="AZ215" i="1"/>
  <c r="BC215" i="1"/>
  <c r="AY216" i="1"/>
  <c r="AZ216" i="1"/>
  <c r="BC216" i="1"/>
  <c r="AY217" i="1"/>
  <c r="AZ217" i="1"/>
  <c r="BC217" i="1"/>
  <c r="AY218" i="1"/>
  <c r="AZ218" i="1"/>
  <c r="BC218" i="1"/>
  <c r="AY219" i="1"/>
  <c r="AZ219" i="1"/>
  <c r="BC219" i="1"/>
  <c r="AY220" i="1"/>
  <c r="AZ220" i="1"/>
  <c r="BC220" i="1"/>
  <c r="AY221" i="1"/>
  <c r="AZ221" i="1"/>
  <c r="BC221" i="1"/>
  <c r="AY222" i="1"/>
  <c r="AZ222" i="1"/>
  <c r="BC222" i="1"/>
  <c r="AY223" i="1"/>
  <c r="AZ223" i="1"/>
  <c r="BC223" i="1"/>
  <c r="AY224" i="1"/>
  <c r="AZ224" i="1"/>
  <c r="BC224" i="1"/>
  <c r="AY225" i="1"/>
  <c r="AZ225" i="1"/>
  <c r="BC225" i="1"/>
  <c r="AY226" i="1"/>
  <c r="AZ226" i="1"/>
  <c r="BC226" i="1"/>
  <c r="AY227" i="1"/>
  <c r="AZ227" i="1"/>
  <c r="BC227" i="1"/>
  <c r="AY228" i="1"/>
  <c r="AZ228" i="1"/>
  <c r="BA228" i="1"/>
  <c r="BC228" i="1"/>
  <c r="AY229" i="1"/>
  <c r="AZ229" i="1"/>
  <c r="BA229" i="1"/>
  <c r="BC229" i="1"/>
  <c r="AY230" i="1"/>
  <c r="AZ230" i="1"/>
  <c r="BA230" i="1"/>
  <c r="BC230" i="1"/>
  <c r="AY231" i="1"/>
  <c r="AZ231" i="1"/>
  <c r="BA231" i="1"/>
  <c r="BC231" i="1"/>
  <c r="AY232" i="1"/>
  <c r="AZ232" i="1"/>
  <c r="BC232" i="1"/>
  <c r="AY233" i="1"/>
  <c r="AZ233" i="1"/>
  <c r="BC233" i="1"/>
  <c r="AY234" i="1"/>
  <c r="AZ234" i="1"/>
  <c r="BC234" i="1"/>
  <c r="AY235" i="1"/>
  <c r="AZ235" i="1"/>
  <c r="BC235" i="1"/>
  <c r="AY236" i="1"/>
  <c r="AZ236" i="1"/>
  <c r="BC236" i="1"/>
  <c r="AY237" i="1"/>
  <c r="AZ237" i="1"/>
  <c r="BC237" i="1"/>
  <c r="AY238" i="1"/>
  <c r="AZ238" i="1"/>
  <c r="BC238" i="1"/>
  <c r="AY239" i="1"/>
  <c r="AZ239" i="1"/>
  <c r="BC239" i="1"/>
  <c r="AY240" i="1"/>
  <c r="AZ240" i="1"/>
  <c r="BC240" i="1"/>
  <c r="AY241" i="1"/>
  <c r="AZ241" i="1"/>
  <c r="BC241" i="1"/>
  <c r="AY242" i="1"/>
  <c r="AZ242" i="1"/>
  <c r="BC242" i="1"/>
  <c r="AY243" i="1"/>
  <c r="AZ243" i="1"/>
  <c r="BC243" i="1"/>
  <c r="AY244" i="1"/>
  <c r="AZ244" i="1"/>
  <c r="BC244" i="1"/>
  <c r="BB245" i="1"/>
  <c r="AY245" i="1"/>
  <c r="AZ245" i="1"/>
  <c r="BA245" i="1"/>
  <c r="BC245" i="1"/>
  <c r="BB246" i="1"/>
  <c r="AY246" i="1"/>
  <c r="AZ246" i="1"/>
  <c r="BA246" i="1"/>
  <c r="BC246" i="1"/>
  <c r="BB247" i="1"/>
  <c r="AY247" i="1"/>
  <c r="AZ247" i="1"/>
  <c r="BA247" i="1"/>
  <c r="BC247" i="1"/>
  <c r="AY248" i="1"/>
  <c r="AZ248" i="1"/>
  <c r="BC248" i="1"/>
  <c r="AY249" i="1"/>
  <c r="AZ249" i="1"/>
  <c r="BC249" i="1"/>
  <c r="AY250" i="1"/>
  <c r="AZ250" i="1"/>
  <c r="BC250" i="1"/>
  <c r="AY251" i="1"/>
  <c r="AZ251" i="1"/>
  <c r="BC251" i="1"/>
  <c r="AY252" i="1"/>
  <c r="AZ252" i="1"/>
  <c r="BC252" i="1"/>
  <c r="AY253" i="1"/>
  <c r="AZ253" i="1"/>
  <c r="BC253" i="1"/>
  <c r="AY254" i="1"/>
  <c r="AZ254" i="1"/>
  <c r="BC254" i="1"/>
  <c r="AY255" i="1"/>
  <c r="AZ255" i="1"/>
  <c r="BC255" i="1"/>
  <c r="AY256" i="1"/>
  <c r="AZ256" i="1"/>
  <c r="BC256" i="1"/>
  <c r="AY257" i="1"/>
  <c r="AZ257" i="1"/>
  <c r="BC257" i="1"/>
  <c r="AY258" i="1"/>
  <c r="AZ258" i="1"/>
  <c r="BC258" i="1"/>
  <c r="AY259" i="1"/>
  <c r="AZ259" i="1"/>
  <c r="BC259" i="1"/>
  <c r="AY260" i="1"/>
  <c r="AZ260" i="1"/>
  <c r="BC260" i="1"/>
  <c r="AY261" i="1"/>
  <c r="AZ261" i="1"/>
  <c r="BC261" i="1"/>
  <c r="AY262" i="1"/>
  <c r="AZ262" i="1"/>
  <c r="BC262" i="1"/>
  <c r="AY263" i="1"/>
  <c r="AZ263" i="1"/>
  <c r="BC263" i="1"/>
  <c r="AY264" i="1"/>
  <c r="AZ264" i="1"/>
  <c r="BC264" i="1"/>
  <c r="AY265" i="1"/>
  <c r="AZ265" i="1"/>
  <c r="BC265" i="1"/>
  <c r="AY266" i="1"/>
  <c r="AZ266" i="1"/>
  <c r="BC266" i="1"/>
  <c r="AY267" i="1"/>
  <c r="AZ267" i="1"/>
  <c r="BC267" i="1"/>
  <c r="AY268" i="1"/>
  <c r="AZ268" i="1"/>
  <c r="BC268" i="1"/>
  <c r="AY269" i="1"/>
  <c r="AZ269" i="1"/>
  <c r="BC269" i="1"/>
  <c r="AY270" i="1"/>
  <c r="AZ270" i="1"/>
  <c r="BC270" i="1"/>
  <c r="AY271" i="1"/>
  <c r="AZ271" i="1"/>
  <c r="BC271" i="1"/>
  <c r="AY272" i="1"/>
  <c r="AZ272" i="1"/>
  <c r="BC272" i="1"/>
  <c r="AY273" i="1"/>
  <c r="AZ273" i="1"/>
  <c r="BC273" i="1"/>
  <c r="AY274" i="1"/>
  <c r="AZ274" i="1"/>
  <c r="BC274" i="1"/>
  <c r="AY275" i="1"/>
  <c r="AZ275" i="1"/>
  <c r="BC275" i="1"/>
  <c r="AY276" i="1"/>
  <c r="AZ276" i="1"/>
  <c r="BC276" i="1"/>
  <c r="AY277" i="1"/>
  <c r="AZ277" i="1"/>
  <c r="BC277" i="1"/>
  <c r="AY278" i="1"/>
  <c r="AZ278" i="1"/>
  <c r="BC278" i="1"/>
  <c r="AY279" i="1"/>
  <c r="AZ279" i="1"/>
  <c r="BC279" i="1"/>
  <c r="AY280" i="1"/>
  <c r="AZ280" i="1"/>
  <c r="BC280" i="1"/>
  <c r="AY281" i="1"/>
  <c r="AZ281" i="1"/>
  <c r="BC281" i="1"/>
  <c r="AY282" i="1"/>
  <c r="AZ282" i="1"/>
  <c r="BC282" i="1"/>
  <c r="AY283" i="1"/>
  <c r="AZ283" i="1"/>
  <c r="BC283" i="1"/>
  <c r="AY284" i="1"/>
  <c r="AZ284" i="1"/>
  <c r="BC284" i="1"/>
  <c r="AY285" i="1"/>
  <c r="AZ285" i="1"/>
  <c r="BC285" i="1"/>
  <c r="AY286" i="1"/>
  <c r="AZ286" i="1"/>
  <c r="BC286" i="1"/>
  <c r="AY287" i="1"/>
  <c r="AZ287" i="1"/>
  <c r="BC287" i="1"/>
  <c r="AY288" i="1"/>
  <c r="AZ288" i="1"/>
  <c r="BC288" i="1"/>
  <c r="AY289" i="1"/>
  <c r="AZ289" i="1"/>
  <c r="BC289" i="1"/>
  <c r="AY290" i="1"/>
  <c r="AZ290" i="1"/>
  <c r="BC290" i="1"/>
  <c r="AY291" i="1"/>
  <c r="AZ291" i="1"/>
  <c r="BC291" i="1"/>
  <c r="AY292" i="1"/>
  <c r="AZ292" i="1"/>
  <c r="BC292" i="1"/>
  <c r="AY293" i="1"/>
  <c r="AZ293" i="1"/>
  <c r="BC293" i="1"/>
  <c r="AY294" i="1"/>
  <c r="AZ294" i="1"/>
  <c r="BC294" i="1"/>
  <c r="AY295" i="1"/>
  <c r="AZ295" i="1"/>
  <c r="BC295" i="1"/>
  <c r="AY296" i="1"/>
  <c r="AZ296" i="1"/>
  <c r="BC296" i="1"/>
  <c r="AY297" i="1"/>
  <c r="AZ297" i="1"/>
  <c r="BC297" i="1"/>
  <c r="AY298" i="1"/>
  <c r="AZ298" i="1"/>
  <c r="BC298" i="1"/>
  <c r="AY299" i="1"/>
  <c r="AZ299" i="1"/>
  <c r="BC299" i="1"/>
  <c r="AY300" i="1"/>
  <c r="AZ300" i="1"/>
  <c r="BC300" i="1"/>
  <c r="AY301" i="1"/>
  <c r="AZ301" i="1"/>
  <c r="BC301" i="1"/>
  <c r="AY302" i="1"/>
  <c r="AZ302" i="1"/>
  <c r="BC302" i="1"/>
  <c r="AY303" i="1"/>
  <c r="AZ303" i="1"/>
  <c r="BC303" i="1"/>
  <c r="AY304" i="1"/>
  <c r="AZ304" i="1"/>
  <c r="BC304" i="1"/>
  <c r="AY305" i="1"/>
  <c r="AZ305" i="1"/>
  <c r="BC305" i="1"/>
  <c r="AY306" i="1"/>
  <c r="AZ306" i="1"/>
  <c r="BC306" i="1"/>
  <c r="AY307" i="1"/>
  <c r="AZ307" i="1"/>
  <c r="BC307" i="1"/>
  <c r="AY308" i="1"/>
  <c r="AZ308" i="1"/>
  <c r="BC308" i="1"/>
  <c r="AY309" i="1"/>
  <c r="AZ309" i="1"/>
  <c r="BC309" i="1"/>
  <c r="AY310" i="1"/>
  <c r="AZ310" i="1"/>
  <c r="BC310" i="1"/>
  <c r="AY311" i="1"/>
  <c r="AZ311" i="1"/>
  <c r="BC311" i="1"/>
  <c r="AY312" i="1"/>
  <c r="AZ312" i="1"/>
  <c r="BC312" i="1"/>
  <c r="BD2" i="1"/>
  <c r="BE2" i="1"/>
  <c r="BD3" i="1"/>
  <c r="BE3" i="1"/>
  <c r="BD4" i="1"/>
  <c r="BE4" i="1"/>
  <c r="BD5" i="1"/>
  <c r="BE5" i="1"/>
  <c r="BD6" i="1"/>
  <c r="BE6" i="1"/>
  <c r="BD7" i="1"/>
  <c r="BM112" i="1"/>
  <c r="G22" i="1" s="1"/>
  <c r="BJ139" i="1"/>
  <c r="BJ140" i="1"/>
  <c r="BJ141" i="1"/>
  <c r="BJ142" i="1"/>
  <c r="BJ143" i="1"/>
  <c r="BJ144" i="1"/>
  <c r="BJ145" i="1"/>
  <c r="BI138" i="1"/>
  <c r="BI139" i="1"/>
  <c r="BI140" i="1"/>
  <c r="BI141" i="1"/>
  <c r="BI142" i="1"/>
  <c r="BT104" i="1"/>
  <c r="BT103" i="1"/>
  <c r="BT105" i="1"/>
  <c r="BT106" i="1"/>
  <c r="BK151" i="1"/>
  <c r="BM136" i="1"/>
  <c r="BN136" i="1"/>
  <c r="BO136" i="1"/>
  <c r="BL135" i="1"/>
  <c r="BP136" i="1"/>
  <c r="BQ136" i="1"/>
  <c r="BR136" i="1"/>
  <c r="BM135" i="1"/>
  <c r="BN135" i="1"/>
  <c r="BO135" i="1"/>
  <c r="BL137" i="1"/>
  <c r="BM137" i="1"/>
  <c r="BN137" i="1"/>
  <c r="BO137" i="1"/>
  <c r="BO138" i="1"/>
  <c r="BO139" i="1"/>
  <c r="BO140" i="1"/>
  <c r="BO141" i="1"/>
  <c r="BO142" i="1"/>
  <c r="BE7" i="1"/>
  <c r="BD8" i="1"/>
  <c r="BM12" i="1"/>
  <c r="C22" i="1" s="1"/>
  <c r="C21" i="1"/>
  <c r="BM13" i="1" s="1"/>
  <c r="BY69" i="1" s="1"/>
  <c r="EU28" i="1" s="1"/>
  <c r="EU30" i="1" s="1"/>
  <c r="ES109" i="1" s="1"/>
  <c r="ES112" i="1" s="1"/>
  <c r="BJ39" i="1"/>
  <c r="BJ40" i="1"/>
  <c r="BJ41" i="1"/>
  <c r="BJ42" i="1"/>
  <c r="BI38" i="1"/>
  <c r="BI39" i="1"/>
  <c r="BI40" i="1"/>
  <c r="BT4" i="1"/>
  <c r="BT3" i="1"/>
  <c r="BT5" i="1"/>
  <c r="BT6" i="1"/>
  <c r="BK51" i="1"/>
  <c r="BM36" i="1"/>
  <c r="BN36" i="1"/>
  <c r="BO36" i="1"/>
  <c r="BL35" i="1"/>
  <c r="BM35" i="1"/>
  <c r="BL37" i="1"/>
  <c r="BM37" i="1"/>
  <c r="BM38" i="1"/>
  <c r="BM39" i="1"/>
  <c r="BM40" i="1"/>
  <c r="BS84" i="1"/>
  <c r="BS85" i="1"/>
  <c r="BS86" i="1"/>
  <c r="BS87" i="1"/>
  <c r="BS88" i="1"/>
  <c r="BS89" i="1"/>
  <c r="BS184" i="1"/>
  <c r="BS185" i="1"/>
  <c r="BS186" i="1"/>
  <c r="BS187" i="1"/>
  <c r="BS188" i="1"/>
  <c r="BS189" i="1"/>
  <c r="BP105" i="1"/>
  <c r="BP106" i="1"/>
  <c r="BP107" i="1"/>
  <c r="BP108" i="1"/>
  <c r="BP109" i="1"/>
  <c r="BP110" i="1"/>
  <c r="BP111" i="1"/>
  <c r="BP112" i="1"/>
  <c r="BP113" i="1"/>
  <c r="BP114" i="1"/>
  <c r="BP115" i="1"/>
  <c r="BP116" i="1"/>
  <c r="BP117" i="1"/>
  <c r="BP118" i="1"/>
  <c r="BP119" i="1"/>
  <c r="BP120" i="1"/>
  <c r="BP121" i="1"/>
  <c r="BP122" i="1"/>
  <c r="BP123" i="1"/>
  <c r="BP124" i="1"/>
  <c r="BP125" i="1"/>
  <c r="BQ104" i="1"/>
  <c r="BQ105" i="1"/>
  <c r="BQ106" i="1"/>
  <c r="BQ107" i="1"/>
  <c r="BQ108" i="1"/>
  <c r="BQ109" i="1"/>
  <c r="BQ110" i="1"/>
  <c r="BQ111" i="1"/>
  <c r="BQ112" i="1"/>
  <c r="BQ113" i="1"/>
  <c r="BQ114" i="1"/>
  <c r="BQ115" i="1"/>
  <c r="BQ116" i="1"/>
  <c r="BQ117" i="1"/>
  <c r="BQ118" i="1"/>
  <c r="BQ119" i="1"/>
  <c r="BQ120" i="1"/>
  <c r="BI102" i="1"/>
  <c r="BN103" i="1" s="1"/>
  <c r="BX39" i="1"/>
  <c r="BX40" i="1" s="1"/>
  <c r="BX41" i="1" s="1"/>
  <c r="BN3" i="1"/>
  <c r="BP5" i="1"/>
  <c r="BP6" i="1"/>
  <c r="BP7" i="1"/>
  <c r="BP8" i="1"/>
  <c r="BP9" i="1"/>
  <c r="BP10" i="1"/>
  <c r="BP11" i="1"/>
  <c r="BP12" i="1"/>
  <c r="BP13" i="1"/>
  <c r="BP14" i="1"/>
  <c r="BP15" i="1"/>
  <c r="BP16" i="1"/>
  <c r="BP17" i="1"/>
  <c r="BP18" i="1"/>
  <c r="BP19" i="1"/>
  <c r="BP20" i="1"/>
  <c r="BP21" i="1"/>
  <c r="BP22" i="1"/>
  <c r="BP23" i="1"/>
  <c r="BP24" i="1"/>
  <c r="BP25" i="1"/>
  <c r="BQ4" i="1"/>
  <c r="BQ5" i="1"/>
  <c r="BQ6" i="1"/>
  <c r="BQ7" i="1"/>
  <c r="BQ8" i="1"/>
  <c r="BQ9" i="1"/>
  <c r="BQ10" i="1"/>
  <c r="BQ11" i="1"/>
  <c r="BQ12" i="1"/>
  <c r="BQ13" i="1"/>
  <c r="BQ14" i="1"/>
  <c r="BQ15" i="1"/>
  <c r="BQ16" i="1"/>
  <c r="BQ17" i="1"/>
  <c r="BQ18" i="1"/>
  <c r="BQ19" i="1"/>
  <c r="BQ20" i="1"/>
  <c r="BQ21" i="1"/>
  <c r="BQ22" i="1"/>
  <c r="BQ23" i="1"/>
  <c r="BB160" i="1"/>
  <c r="BB3" i="1"/>
  <c r="BB9" i="1"/>
  <c r="BB15" i="1"/>
  <c r="BB17" i="1"/>
  <c r="BB18" i="1"/>
  <c r="BB19" i="1"/>
  <c r="BB20" i="1"/>
  <c r="BB21" i="1"/>
  <c r="BB22" i="1"/>
  <c r="BB156" i="1"/>
  <c r="BB216" i="1"/>
  <c r="BB219" i="1"/>
  <c r="BB223" i="1"/>
  <c r="BB119" i="1"/>
  <c r="BB140" i="1"/>
  <c r="BB145" i="1"/>
  <c r="BB206" i="1"/>
  <c r="BE8" i="1"/>
  <c r="BD9" i="1"/>
  <c r="BE9" i="1"/>
  <c r="BD10" i="1"/>
  <c r="BE10" i="1"/>
  <c r="BD11" i="1"/>
  <c r="BE11" i="1"/>
  <c r="BD12" i="1"/>
  <c r="BE12" i="1"/>
  <c r="BD13" i="1"/>
  <c r="BM3" i="1"/>
  <c r="C24" i="1" s="1"/>
  <c r="BM5" i="1" s="1"/>
  <c r="BX68" i="1"/>
  <c r="BX69" i="1"/>
  <c r="BX70" i="1"/>
  <c r="BX62" i="1"/>
  <c r="BX63" i="1"/>
  <c r="BO5" i="1"/>
  <c r="BA2" i="1"/>
  <c r="BB2" i="1"/>
  <c r="BF2" i="1"/>
  <c r="BG2" i="1"/>
  <c r="BH2" i="1"/>
  <c r="BA3" i="1"/>
  <c r="BF3" i="1"/>
  <c r="BG3" i="1"/>
  <c r="BH3" i="1"/>
  <c r="BA4" i="1"/>
  <c r="BB4" i="1"/>
  <c r="BF4" i="1"/>
  <c r="BG4" i="1"/>
  <c r="BH4" i="1"/>
  <c r="BA5" i="1"/>
  <c r="BB5" i="1"/>
  <c r="BF5" i="1"/>
  <c r="BG5" i="1"/>
  <c r="BH5" i="1"/>
  <c r="BA6" i="1"/>
  <c r="BB6" i="1"/>
  <c r="BF6" i="1"/>
  <c r="BG6" i="1"/>
  <c r="BH6" i="1"/>
  <c r="CB11" i="1"/>
  <c r="BA7" i="1"/>
  <c r="BB7" i="1"/>
  <c r="BF7" i="1"/>
  <c r="BG7" i="1"/>
  <c r="BH7" i="1"/>
  <c r="DU7" i="1"/>
  <c r="BA8" i="1"/>
  <c r="BB8" i="1"/>
  <c r="BF8" i="1"/>
  <c r="BG8" i="1"/>
  <c r="BH8" i="1"/>
  <c r="DU8" i="1"/>
  <c r="BA9" i="1"/>
  <c r="BF9" i="1"/>
  <c r="BG9" i="1"/>
  <c r="BH9" i="1"/>
  <c r="DU9" i="1"/>
  <c r="DV9" i="1"/>
  <c r="CG9" i="1"/>
  <c r="CH9" i="1"/>
  <c r="CI9" i="1"/>
  <c r="CJ9" i="1"/>
  <c r="CK9" i="1"/>
  <c r="CL9" i="1"/>
  <c r="CM9" i="1"/>
  <c r="CN9" i="1"/>
  <c r="CO9" i="1"/>
  <c r="CP9" i="1"/>
  <c r="CQ9" i="1"/>
  <c r="CR9" i="1"/>
  <c r="CS9" i="1"/>
  <c r="CT9" i="1"/>
  <c r="CU9" i="1"/>
  <c r="CV9" i="1"/>
  <c r="CW9" i="1"/>
  <c r="CX9" i="1"/>
  <c r="CY9" i="1"/>
  <c r="CZ9" i="1"/>
  <c r="DA9" i="1"/>
  <c r="DB9" i="1"/>
  <c r="DC9" i="1"/>
  <c r="DD9" i="1"/>
  <c r="DE9" i="1"/>
  <c r="DF9" i="1"/>
  <c r="DG9" i="1"/>
  <c r="DH9" i="1"/>
  <c r="DI9" i="1"/>
  <c r="DJ9" i="1"/>
  <c r="DK9" i="1"/>
  <c r="DL9" i="1"/>
  <c r="DM9" i="1"/>
  <c r="DN9" i="1"/>
  <c r="DO9" i="1"/>
  <c r="DP9" i="1"/>
  <c r="B10" i="1"/>
  <c r="BA10" i="1"/>
  <c r="BB10" i="1"/>
  <c r="BF10" i="1"/>
  <c r="BG10" i="1"/>
  <c r="BH10" i="1"/>
  <c r="B11" i="1"/>
  <c r="BA11" i="1"/>
  <c r="BB11" i="1"/>
  <c r="BF11" i="1"/>
  <c r="BG11" i="1"/>
  <c r="BH11" i="1"/>
  <c r="B12" i="1"/>
  <c r="BA12" i="1"/>
  <c r="BB12" i="1"/>
  <c r="BF12" i="1"/>
  <c r="BG12" i="1"/>
  <c r="BH12" i="1"/>
  <c r="DS78" i="1"/>
  <c r="DS79" i="1"/>
  <c r="CH12" i="1"/>
  <c r="CJ12" i="1"/>
  <c r="CL12" i="1"/>
  <c r="CN12" i="1"/>
  <c r="CP12" i="1"/>
  <c r="CR12" i="1"/>
  <c r="CT12" i="1"/>
  <c r="CV12" i="1"/>
  <c r="CX12" i="1"/>
  <c r="CZ12" i="1"/>
  <c r="DB12" i="1"/>
  <c r="DD12" i="1"/>
  <c r="DF12" i="1"/>
  <c r="DG12" i="1"/>
  <c r="DH12" i="1"/>
  <c r="DI12" i="1"/>
  <c r="DJ12" i="1"/>
  <c r="DK12" i="1"/>
  <c r="DL12" i="1"/>
  <c r="DM12" i="1"/>
  <c r="DN12" i="1"/>
  <c r="DO12" i="1"/>
  <c r="DP12" i="1"/>
  <c r="B13" i="1"/>
  <c r="BA13" i="1"/>
  <c r="BB13" i="1"/>
  <c r="BE13" i="1"/>
  <c r="BF13" i="1"/>
  <c r="BG13" i="1"/>
  <c r="BH13" i="1"/>
  <c r="DX13" i="1"/>
  <c r="EK13" i="1"/>
  <c r="EX13" i="1"/>
  <c r="BA14" i="1"/>
  <c r="BB14" i="1"/>
  <c r="BD14" i="1"/>
  <c r="BE14" i="1"/>
  <c r="BF14" i="1"/>
  <c r="BG14" i="1"/>
  <c r="BH14" i="1"/>
  <c r="DX14" i="1"/>
  <c r="EK14" i="1"/>
  <c r="EX14" i="1"/>
  <c r="BA15" i="1"/>
  <c r="BD15" i="1"/>
  <c r="BE15" i="1"/>
  <c r="BF15" i="1"/>
  <c r="BG15" i="1"/>
  <c r="BH15" i="1"/>
  <c r="DX15" i="1"/>
  <c r="DY15" i="1"/>
  <c r="EX15" i="1"/>
  <c r="EY15" i="1"/>
  <c r="EK15" i="1"/>
  <c r="EL15" i="1"/>
  <c r="CM15" i="1"/>
  <c r="CO15" i="1"/>
  <c r="CQ15" i="1"/>
  <c r="BA16" i="1"/>
  <c r="BB16" i="1"/>
  <c r="BD16" i="1"/>
  <c r="BE16" i="1"/>
  <c r="BF16" i="1"/>
  <c r="BG16" i="1"/>
  <c r="BH16" i="1"/>
  <c r="DX16" i="1"/>
  <c r="EK16" i="1"/>
  <c r="EX16" i="1"/>
  <c r="FZ16" i="1"/>
  <c r="GD16" i="1"/>
  <c r="GM16" i="1"/>
  <c r="GQ16" i="1"/>
  <c r="GZ16" i="1"/>
  <c r="HD16" i="1"/>
  <c r="BA17" i="1"/>
  <c r="BD17" i="1"/>
  <c r="BE17" i="1"/>
  <c r="BF17" i="1"/>
  <c r="BG17" i="1"/>
  <c r="BH17" i="1"/>
  <c r="DX17" i="1"/>
  <c r="EK17" i="1"/>
  <c r="EX17" i="1"/>
  <c r="FZ17" i="1"/>
  <c r="GD17" i="1"/>
  <c r="GM17" i="1"/>
  <c r="GQ17" i="1"/>
  <c r="GZ17" i="1"/>
  <c r="HD17" i="1"/>
  <c r="BA18" i="1"/>
  <c r="BD18" i="1"/>
  <c r="BE18" i="1"/>
  <c r="BF18" i="1"/>
  <c r="BG18" i="1"/>
  <c r="BH18" i="1"/>
  <c r="DX18" i="1"/>
  <c r="DY18" i="1"/>
  <c r="EX18" i="1"/>
  <c r="EY18" i="1"/>
  <c r="EK18" i="1"/>
  <c r="EL18" i="1"/>
  <c r="CM18" i="1"/>
  <c r="CN18" i="1"/>
  <c r="CO18" i="1"/>
  <c r="CP18" i="1"/>
  <c r="CQ18" i="1"/>
  <c r="CR18" i="1"/>
  <c r="BX47" i="1"/>
  <c r="BX48" i="1"/>
  <c r="FK18" i="1"/>
  <c r="CS18" i="1"/>
  <c r="CU18" i="1"/>
  <c r="CW18" i="1"/>
  <c r="FZ18" i="1"/>
  <c r="GA18" i="1"/>
  <c r="GD18" i="1"/>
  <c r="GE18" i="1"/>
  <c r="GM18" i="1"/>
  <c r="GN18" i="1"/>
  <c r="GQ18" i="1"/>
  <c r="GR18" i="1"/>
  <c r="GZ18" i="1"/>
  <c r="HA18" i="1"/>
  <c r="HD18" i="1"/>
  <c r="HE18" i="1"/>
  <c r="DH18" i="1"/>
  <c r="DI18" i="1"/>
  <c r="DJ18" i="1"/>
  <c r="B19" i="1"/>
  <c r="G19" i="1"/>
  <c r="BA19" i="1"/>
  <c r="BD19" i="1"/>
  <c r="BE19" i="1"/>
  <c r="BF19" i="1"/>
  <c r="BG19" i="1"/>
  <c r="BH19" i="1"/>
  <c r="DX19" i="1"/>
  <c r="EK19" i="1"/>
  <c r="EX19" i="1"/>
  <c r="FZ19" i="1"/>
  <c r="GB19" i="1"/>
  <c r="GM19" i="1"/>
  <c r="GO19" i="1"/>
  <c r="GZ19" i="1"/>
  <c r="HB19" i="1"/>
  <c r="BA20" i="1"/>
  <c r="BD20" i="1"/>
  <c r="BE20" i="1"/>
  <c r="BF20" i="1"/>
  <c r="BG20" i="1"/>
  <c r="BH20" i="1"/>
  <c r="DX20" i="1"/>
  <c r="EK20" i="1"/>
  <c r="EX20" i="1"/>
  <c r="FZ20" i="1"/>
  <c r="GB20" i="1"/>
  <c r="GM20" i="1"/>
  <c r="GO20" i="1"/>
  <c r="GZ20" i="1"/>
  <c r="HB20" i="1"/>
  <c r="B21" i="1"/>
  <c r="BA21" i="1"/>
  <c r="BD21" i="1"/>
  <c r="BE21" i="1"/>
  <c r="BF21" i="1"/>
  <c r="BG21" i="1"/>
  <c r="BH21" i="1"/>
  <c r="DX21" i="1"/>
  <c r="DY21" i="1"/>
  <c r="EX21" i="1"/>
  <c r="EY21" i="1"/>
  <c r="EK21" i="1"/>
  <c r="EL21" i="1"/>
  <c r="DS87" i="1"/>
  <c r="DS88" i="1"/>
  <c r="CH21" i="1"/>
  <c r="CJ21" i="1"/>
  <c r="CL21" i="1"/>
  <c r="CN21" i="1"/>
  <c r="CP21" i="1"/>
  <c r="CR21" i="1"/>
  <c r="CS21" i="1"/>
  <c r="CT21" i="1"/>
  <c r="CU21" i="1"/>
  <c r="CV21" i="1"/>
  <c r="CW21" i="1"/>
  <c r="CX21" i="1"/>
  <c r="FZ21" i="1"/>
  <c r="GA21" i="1"/>
  <c r="GB21" i="1"/>
  <c r="GC21" i="1"/>
  <c r="CZ21" i="1"/>
  <c r="GM21" i="1"/>
  <c r="GN21" i="1"/>
  <c r="GO21" i="1"/>
  <c r="GP21" i="1"/>
  <c r="DB21" i="1"/>
  <c r="GZ21" i="1"/>
  <c r="HA21" i="1"/>
  <c r="HB21" i="1"/>
  <c r="HC21" i="1"/>
  <c r="DD21" i="1"/>
  <c r="DH21" i="1"/>
  <c r="DI21" i="1"/>
  <c r="DJ21" i="1"/>
  <c r="DK21" i="1"/>
  <c r="DL21" i="1"/>
  <c r="DM21" i="1"/>
  <c r="B22" i="1"/>
  <c r="BA22" i="1"/>
  <c r="BD22" i="1"/>
  <c r="BE22" i="1"/>
  <c r="BF22" i="1"/>
  <c r="BG22" i="1"/>
  <c r="BH22" i="1"/>
  <c r="FZ22" i="1"/>
  <c r="GD22" i="1"/>
  <c r="GM22" i="1"/>
  <c r="GQ22" i="1"/>
  <c r="GZ22" i="1"/>
  <c r="HD22" i="1"/>
  <c r="B23" i="1"/>
  <c r="G23" i="1"/>
  <c r="BA23" i="1"/>
  <c r="BB23" i="1"/>
  <c r="BD23" i="1"/>
  <c r="BE23" i="1"/>
  <c r="BF23" i="1"/>
  <c r="BG23" i="1"/>
  <c r="BH23" i="1"/>
  <c r="FZ23" i="1"/>
  <c r="GD23" i="1"/>
  <c r="GM23" i="1"/>
  <c r="GQ23" i="1"/>
  <c r="GZ23" i="1"/>
  <c r="HD23" i="1"/>
  <c r="B24" i="1"/>
  <c r="BM103" i="1"/>
  <c r="G24" i="1" s="1"/>
  <c r="BM105" i="1" s="1"/>
  <c r="BA24" i="1"/>
  <c r="BB24" i="1"/>
  <c r="BD24" i="1"/>
  <c r="BE24" i="1"/>
  <c r="BF24" i="1"/>
  <c r="BG24" i="1"/>
  <c r="BH24" i="1"/>
  <c r="BQ24" i="1"/>
  <c r="CS24" i="1"/>
  <c r="CT24" i="1"/>
  <c r="CU24" i="1"/>
  <c r="CV24" i="1"/>
  <c r="CW24" i="1"/>
  <c r="CX24" i="1"/>
  <c r="FZ24" i="1"/>
  <c r="GA24" i="1"/>
  <c r="GD24" i="1"/>
  <c r="GE24" i="1"/>
  <c r="GM24" i="1"/>
  <c r="GN24" i="1"/>
  <c r="GQ24" i="1"/>
  <c r="GR24" i="1"/>
  <c r="GZ24" i="1"/>
  <c r="HA24" i="1"/>
  <c r="HD24" i="1"/>
  <c r="HE24" i="1"/>
  <c r="DK24" i="1"/>
  <c r="DL24" i="1"/>
  <c r="DM24" i="1"/>
  <c r="B25" i="1"/>
  <c r="BD25" i="1"/>
  <c r="BE25" i="1"/>
  <c r="BF25" i="1"/>
  <c r="BG25" i="1"/>
  <c r="BH25" i="1"/>
  <c r="BQ25" i="1"/>
  <c r="DT25" i="1"/>
  <c r="EG25" i="1"/>
  <c r="ET25" i="1"/>
  <c r="FZ25" i="1"/>
  <c r="GB25" i="1"/>
  <c r="GM25" i="1"/>
  <c r="GO25" i="1"/>
  <c r="GZ25" i="1"/>
  <c r="HB25" i="1"/>
  <c r="B26" i="1"/>
  <c r="BA26" i="1"/>
  <c r="BB26" i="1"/>
  <c r="BP26" i="1"/>
  <c r="BQ26" i="1"/>
  <c r="DT26" i="1"/>
  <c r="EG26" i="1"/>
  <c r="ET26" i="1"/>
  <c r="FZ26" i="1"/>
  <c r="GB26" i="1"/>
  <c r="GM26" i="1"/>
  <c r="GO26" i="1"/>
  <c r="GZ26" i="1"/>
  <c r="HB26" i="1"/>
  <c r="B27" i="1"/>
  <c r="BP27" i="1"/>
  <c r="BQ27" i="1"/>
  <c r="DT27" i="1"/>
  <c r="DU27" i="1"/>
  <c r="CG27" i="1"/>
  <c r="EG27" i="1"/>
  <c r="EH27" i="1"/>
  <c r="CI27" i="1"/>
  <c r="DS93" i="1"/>
  <c r="DS94" i="1"/>
  <c r="CH27" i="1"/>
  <c r="CJ27" i="1"/>
  <c r="ET27" i="1"/>
  <c r="EU27" i="1"/>
  <c r="CK27" i="1"/>
  <c r="CL27" i="1"/>
  <c r="CT27" i="1"/>
  <c r="CV27" i="1"/>
  <c r="CX27" i="1"/>
  <c r="FZ27" i="1"/>
  <c r="GA27" i="1"/>
  <c r="GB27" i="1"/>
  <c r="GC27" i="1"/>
  <c r="CZ27" i="1"/>
  <c r="GM27" i="1"/>
  <c r="GN27" i="1"/>
  <c r="GO27" i="1"/>
  <c r="GP27" i="1"/>
  <c r="DB27" i="1"/>
  <c r="GZ27" i="1"/>
  <c r="HA27" i="1"/>
  <c r="HB27" i="1"/>
  <c r="HC27" i="1"/>
  <c r="DD27" i="1"/>
  <c r="DK27" i="1"/>
  <c r="DL27" i="1"/>
  <c r="DM27" i="1"/>
  <c r="BP28" i="1"/>
  <c r="BQ28" i="1"/>
  <c r="B29" i="1"/>
  <c r="BM115" i="1"/>
  <c r="BP29" i="1"/>
  <c r="BQ29" i="1"/>
  <c r="BA30" i="1"/>
  <c r="BB30" i="1"/>
  <c r="BP30" i="1"/>
  <c r="BQ30" i="1"/>
  <c r="CN30" i="1"/>
  <c r="CP30" i="1"/>
  <c r="CR30" i="1"/>
  <c r="CM39" i="1"/>
  <c r="CS30" i="1"/>
  <c r="CT30" i="1"/>
  <c r="CU30" i="1"/>
  <c r="CV30" i="1"/>
  <c r="CW30" i="1"/>
  <c r="CX30" i="1"/>
  <c r="DF30" i="1"/>
  <c r="DG30" i="1"/>
  <c r="B31" i="1"/>
  <c r="BX162" i="1"/>
  <c r="BX163" i="1"/>
  <c r="BA31" i="1"/>
  <c r="BB31" i="1"/>
  <c r="BP31" i="1"/>
  <c r="BQ31" i="1"/>
  <c r="EX31" i="1"/>
  <c r="FB31" i="1"/>
  <c r="B32" i="1"/>
  <c r="BO103" i="1"/>
  <c r="BO105" i="1"/>
  <c r="BA32" i="1"/>
  <c r="BB32" i="1"/>
  <c r="BP32" i="1"/>
  <c r="BQ32" i="1"/>
  <c r="EX32" i="1"/>
  <c r="B33" i="1"/>
  <c r="BA33" i="1"/>
  <c r="BB33" i="1"/>
  <c r="EX33" i="1"/>
  <c r="EY33" i="1"/>
  <c r="DS100" i="1"/>
  <c r="CH33" i="1"/>
  <c r="CJ33" i="1"/>
  <c r="CL33" i="1"/>
  <c r="CM42" i="1"/>
  <c r="CS33" i="1"/>
  <c r="CU33" i="1"/>
  <c r="CW33" i="1"/>
  <c r="CZ33" i="1"/>
  <c r="DB33" i="1"/>
  <c r="DD33" i="1"/>
  <c r="DE33" i="1"/>
  <c r="DK33" i="1"/>
  <c r="DL33" i="1"/>
  <c r="DM33" i="1"/>
  <c r="BA34" i="1"/>
  <c r="BB34" i="1"/>
  <c r="EX34" i="1"/>
  <c r="EZ34" i="1"/>
  <c r="BA35" i="1"/>
  <c r="BB35" i="1"/>
  <c r="BN35" i="1"/>
  <c r="BO35" i="1"/>
  <c r="BP35" i="1"/>
  <c r="BQ35" i="1"/>
  <c r="BR35" i="1"/>
  <c r="BS35" i="1"/>
  <c r="BT35" i="1"/>
  <c r="EX35" i="1"/>
  <c r="BA36" i="1"/>
  <c r="BB36" i="1"/>
  <c r="BP36" i="1"/>
  <c r="BQ36" i="1"/>
  <c r="BR36" i="1"/>
  <c r="BS36" i="1"/>
  <c r="BT36" i="1"/>
  <c r="EX36" i="1"/>
  <c r="EY36" i="1"/>
  <c r="CN36" i="1"/>
  <c r="CO36" i="1"/>
  <c r="CP36" i="1"/>
  <c r="CQ36" i="1"/>
  <c r="CR36" i="1"/>
  <c r="CT36" i="1"/>
  <c r="CV36" i="1"/>
  <c r="CX36" i="1"/>
  <c r="CY36" i="1"/>
  <c r="DA36" i="1"/>
  <c r="DC36" i="1"/>
  <c r="DK36" i="1"/>
  <c r="DL36" i="1"/>
  <c r="DM36" i="1"/>
  <c r="BA37" i="1"/>
  <c r="BB37" i="1"/>
  <c r="BN37" i="1"/>
  <c r="BO37" i="1"/>
  <c r="BP37" i="1"/>
  <c r="BQ37" i="1"/>
  <c r="BR37" i="1"/>
  <c r="BS37" i="1"/>
  <c r="BT37" i="1"/>
  <c r="ET37" i="1"/>
  <c r="ET39" i="1" s="1"/>
  <c r="EX37" i="1"/>
  <c r="BA38" i="1"/>
  <c r="BB38" i="1"/>
  <c r="BK38" i="1"/>
  <c r="BL38" i="1"/>
  <c r="BN38" i="1"/>
  <c r="BO38" i="1"/>
  <c r="BP38" i="1"/>
  <c r="BQ38" i="1"/>
  <c r="BR38" i="1"/>
  <c r="BS38" i="1"/>
  <c r="BT38" i="1"/>
  <c r="EX38" i="1"/>
  <c r="BA39" i="1"/>
  <c r="BB39" i="1"/>
  <c r="BK39" i="1"/>
  <c r="BL39" i="1"/>
  <c r="BN39" i="1"/>
  <c r="BO39" i="1"/>
  <c r="BP39" i="1"/>
  <c r="BQ39" i="1"/>
  <c r="BR39" i="1"/>
  <c r="BS39" i="1"/>
  <c r="BT39" i="1"/>
  <c r="EX39" i="1"/>
  <c r="EY39" i="1"/>
  <c r="DS105" i="1"/>
  <c r="DS106" i="1"/>
  <c r="CH39" i="1"/>
  <c r="EF106" i="1"/>
  <c r="CJ39" i="1"/>
  <c r="ES106" i="1"/>
  <c r="CL39" i="1"/>
  <c r="CT39" i="1"/>
  <c r="CV39" i="1"/>
  <c r="CX39" i="1"/>
  <c r="CZ39" i="1"/>
  <c r="DB39" i="1"/>
  <c r="DD39" i="1"/>
  <c r="DI39" i="1"/>
  <c r="DJ39" i="1"/>
  <c r="DN39" i="1"/>
  <c r="DO39" i="1"/>
  <c r="DP39" i="1"/>
  <c r="BA40" i="1"/>
  <c r="BB40" i="1"/>
  <c r="BK40" i="1"/>
  <c r="BL40" i="1"/>
  <c r="BN40" i="1"/>
  <c r="BO40" i="1"/>
  <c r="BP40" i="1"/>
  <c r="BQ40" i="1"/>
  <c r="BR40" i="1"/>
  <c r="BS40" i="1"/>
  <c r="BT40" i="1"/>
  <c r="FL40" i="1"/>
  <c r="FQ40" i="1"/>
  <c r="BA41" i="1"/>
  <c r="BB41" i="1"/>
  <c r="BI41" i="1"/>
  <c r="BK41" i="1"/>
  <c r="BL41" i="1"/>
  <c r="BM41" i="1"/>
  <c r="BN41" i="1"/>
  <c r="BO41" i="1"/>
  <c r="BP41" i="1"/>
  <c r="BQ41" i="1"/>
  <c r="BR41" i="1"/>
  <c r="BS41" i="1"/>
  <c r="BT41" i="1"/>
  <c r="FL41" i="1"/>
  <c r="FQ41" i="1"/>
  <c r="BA42" i="1"/>
  <c r="BB42" i="1"/>
  <c r="BI42" i="1"/>
  <c r="BK42" i="1"/>
  <c r="BL42" i="1"/>
  <c r="BM42" i="1"/>
  <c r="BN42" i="1"/>
  <c r="BO42" i="1"/>
  <c r="BP42" i="1"/>
  <c r="BQ42" i="1"/>
  <c r="BR42" i="1"/>
  <c r="BS42" i="1"/>
  <c r="BT42" i="1"/>
  <c r="ET109" i="1"/>
  <c r="EV109" i="1"/>
  <c r="CN42" i="1"/>
  <c r="CP42" i="1"/>
  <c r="CR42" i="1"/>
  <c r="FL42" i="1"/>
  <c r="FM42" i="1"/>
  <c r="CS42" i="1"/>
  <c r="CT42" i="1"/>
  <c r="FQ42" i="1"/>
  <c r="FR42" i="1"/>
  <c r="CU42" i="1"/>
  <c r="CV42" i="1"/>
  <c r="CW42" i="1"/>
  <c r="CX42" i="1"/>
  <c r="DH42" i="1"/>
  <c r="DN42" i="1"/>
  <c r="BA43" i="1"/>
  <c r="BB43" i="1"/>
  <c r="BI43" i="1"/>
  <c r="BJ43" i="1"/>
  <c r="BK43" i="1"/>
  <c r="BL43" i="1"/>
  <c r="BM43" i="1"/>
  <c r="BN43" i="1"/>
  <c r="BO43" i="1"/>
  <c r="BP43" i="1"/>
  <c r="BQ43" i="1"/>
  <c r="BR43" i="1"/>
  <c r="BS43" i="1"/>
  <c r="BT43" i="1"/>
  <c r="ET43" i="1"/>
  <c r="GZ43" i="1"/>
  <c r="HD43" i="1"/>
  <c r="BA44" i="1"/>
  <c r="BB44" i="1"/>
  <c r="BI44" i="1"/>
  <c r="BJ44" i="1"/>
  <c r="BK44" i="1"/>
  <c r="BL44" i="1"/>
  <c r="BM44" i="1"/>
  <c r="BN44" i="1"/>
  <c r="BO44" i="1"/>
  <c r="BP44" i="1"/>
  <c r="BQ44" i="1"/>
  <c r="BR44" i="1"/>
  <c r="BS44" i="1"/>
  <c r="BT44" i="1"/>
  <c r="ET44" i="1"/>
  <c r="GZ44" i="1"/>
  <c r="HD44" i="1"/>
  <c r="BA45" i="1"/>
  <c r="BB45" i="1"/>
  <c r="BI45" i="1"/>
  <c r="BJ45" i="1"/>
  <c r="BK45" i="1"/>
  <c r="BL45" i="1"/>
  <c r="BM45" i="1"/>
  <c r="BN45" i="1"/>
  <c r="BO45" i="1"/>
  <c r="BP45" i="1"/>
  <c r="BQ45" i="1"/>
  <c r="BR45" i="1"/>
  <c r="BS45" i="1"/>
  <c r="BT45" i="1"/>
  <c r="CI45" i="1"/>
  <c r="ET45" i="1"/>
  <c r="EU45" i="1"/>
  <c r="CK45" i="1"/>
  <c r="CZ45" i="1"/>
  <c r="DB45" i="1"/>
  <c r="GZ45" i="1"/>
  <c r="HA45" i="1"/>
  <c r="HD45" i="1"/>
  <c r="HE45" i="1"/>
  <c r="DD45" i="1"/>
  <c r="DH45" i="1"/>
  <c r="DK45" i="1"/>
  <c r="DL45" i="1"/>
  <c r="DM45" i="1"/>
  <c r="BA46" i="1"/>
  <c r="BB46" i="1"/>
  <c r="BI46" i="1"/>
  <c r="BJ46" i="1"/>
  <c r="BK46" i="1"/>
  <c r="BL46" i="1"/>
  <c r="BM46" i="1"/>
  <c r="BN46" i="1"/>
  <c r="BO46" i="1"/>
  <c r="BP46" i="1"/>
  <c r="BQ46" i="1"/>
  <c r="BR46" i="1"/>
  <c r="BS46" i="1"/>
  <c r="BT46" i="1"/>
  <c r="GZ46" i="1"/>
  <c r="HB46" i="1"/>
  <c r="BA47" i="1"/>
  <c r="BB47" i="1"/>
  <c r="BI47" i="1"/>
  <c r="BJ47" i="1"/>
  <c r="BK47" i="1"/>
  <c r="BL47" i="1"/>
  <c r="BM47" i="1"/>
  <c r="BN47" i="1"/>
  <c r="BO47" i="1"/>
  <c r="BP47" i="1"/>
  <c r="BQ47" i="1"/>
  <c r="BR47" i="1"/>
  <c r="BS47" i="1"/>
  <c r="BT47" i="1"/>
  <c r="GZ47" i="1"/>
  <c r="HB47" i="1"/>
  <c r="BA48" i="1"/>
  <c r="BB48" i="1"/>
  <c r="BI48" i="1"/>
  <c r="BJ48" i="1"/>
  <c r="BK48" i="1"/>
  <c r="BL48" i="1"/>
  <c r="BM48" i="1"/>
  <c r="BN48" i="1"/>
  <c r="BO48" i="1"/>
  <c r="BP48" i="1"/>
  <c r="BQ48" i="1"/>
  <c r="BR48" i="1"/>
  <c r="BS48" i="1"/>
  <c r="BT48" i="1"/>
  <c r="CJ48" i="1"/>
  <c r="CL48" i="1"/>
  <c r="CP48" i="1"/>
  <c r="CR48" i="1"/>
  <c r="CT48" i="1"/>
  <c r="CV48" i="1"/>
  <c r="CX48" i="1"/>
  <c r="GZ48" i="1"/>
  <c r="HA48" i="1"/>
  <c r="HB48" i="1"/>
  <c r="HC48" i="1"/>
  <c r="DF48" i="1"/>
  <c r="DG48" i="1"/>
  <c r="DH48" i="1"/>
  <c r="DK48" i="1"/>
  <c r="BA49" i="1"/>
  <c r="BB49" i="1"/>
  <c r="GZ49" i="1"/>
  <c r="HD49" i="1"/>
  <c r="BA50" i="1"/>
  <c r="BB50" i="1"/>
  <c r="GZ50" i="1"/>
  <c r="HD50" i="1"/>
  <c r="BA51" i="1"/>
  <c r="BB51" i="1"/>
  <c r="ET118" i="1"/>
  <c r="CN51" i="1"/>
  <c r="CU51" i="1"/>
  <c r="CW51" i="1"/>
  <c r="CZ51" i="1"/>
  <c r="DB51" i="1"/>
  <c r="GZ51" i="1"/>
  <c r="HA51" i="1"/>
  <c r="HD51" i="1"/>
  <c r="HE51" i="1"/>
  <c r="DD51" i="1"/>
  <c r="DF51" i="1"/>
  <c r="BA52" i="1"/>
  <c r="BB52" i="1"/>
  <c r="GZ52" i="1"/>
  <c r="HB52" i="1"/>
  <c r="BA53" i="1"/>
  <c r="BB53" i="1"/>
  <c r="GZ53" i="1"/>
  <c r="HB53" i="1"/>
  <c r="BA54" i="1"/>
  <c r="BB54" i="1"/>
  <c r="CJ54" i="1"/>
  <c r="CL54" i="1"/>
  <c r="CN54" i="1"/>
  <c r="CQ54" i="1"/>
  <c r="FL120" i="1"/>
  <c r="FK121" i="1"/>
  <c r="FL121" i="1"/>
  <c r="CT54" i="1"/>
  <c r="CU54" i="1"/>
  <c r="CV54" i="1"/>
  <c r="CW54" i="1"/>
  <c r="CX54" i="1"/>
  <c r="GZ54" i="1"/>
  <c r="HA54" i="1"/>
  <c r="HB54" i="1"/>
  <c r="HC54" i="1"/>
  <c r="DL54" i="1"/>
  <c r="DM54" i="1"/>
  <c r="BA55" i="1"/>
  <c r="BB55" i="1"/>
  <c r="BA56" i="1"/>
  <c r="BB56" i="1"/>
  <c r="BA57" i="1"/>
  <c r="BB57" i="1"/>
  <c r="ET124" i="1"/>
  <c r="CO57" i="1"/>
  <c r="CP57" i="1"/>
  <c r="CR57" i="1"/>
  <c r="CZ57" i="1"/>
  <c r="DB57" i="1"/>
  <c r="DD57" i="1"/>
  <c r="DJ57" i="1"/>
  <c r="DL57" i="1"/>
  <c r="DM57" i="1"/>
  <c r="BA58" i="1"/>
  <c r="BB58" i="1"/>
  <c r="BA59" i="1"/>
  <c r="BB59" i="1"/>
  <c r="BA60" i="1"/>
  <c r="BB60" i="1"/>
  <c r="CJ60" i="1"/>
  <c r="CL60" i="1"/>
  <c r="CO60" i="1"/>
  <c r="CU60" i="1"/>
  <c r="CW60" i="1"/>
  <c r="DI60" i="1"/>
  <c r="BA61" i="1"/>
  <c r="BB61" i="1"/>
  <c r="BA62" i="1"/>
  <c r="BB62" i="1"/>
  <c r="BA63" i="1"/>
  <c r="BB63" i="1"/>
  <c r="BY63" i="1"/>
  <c r="CK63" i="1"/>
  <c r="ET130" i="1"/>
  <c r="EV130" i="1"/>
  <c r="CP63" i="1"/>
  <c r="CR63" i="1"/>
  <c r="CU63" i="1"/>
  <c r="CV63" i="1"/>
  <c r="CW63" i="1"/>
  <c r="CX63" i="1"/>
  <c r="DA63" i="1"/>
  <c r="DC63" i="1"/>
  <c r="DI63" i="1"/>
  <c r="DL63" i="1"/>
  <c r="DM63" i="1"/>
  <c r="BA64" i="1"/>
  <c r="BB64" i="1"/>
  <c r="BA65" i="1"/>
  <c r="BB65" i="1"/>
  <c r="BA66" i="1"/>
  <c r="BB66" i="1"/>
  <c r="CJ66" i="1"/>
  <c r="ES133" i="1"/>
  <c r="ET133" i="1"/>
  <c r="CL66" i="1"/>
  <c r="CV66" i="1"/>
  <c r="CX66" i="1"/>
  <c r="DB66" i="1"/>
  <c r="DD66" i="1"/>
  <c r="DG66" i="1"/>
  <c r="DI66" i="1"/>
  <c r="DL66" i="1"/>
  <c r="DM66" i="1"/>
  <c r="DO66" i="1"/>
  <c r="DP66" i="1"/>
  <c r="BA67" i="1"/>
  <c r="BB67" i="1"/>
  <c r="BA68" i="1"/>
  <c r="BB68" i="1"/>
  <c r="BS82" i="1"/>
  <c r="BS81" i="1"/>
  <c r="BS80" i="1"/>
  <c r="BS79" i="1"/>
  <c r="BS78" i="1"/>
  <c r="BS77" i="1"/>
  <c r="BS76" i="1"/>
  <c r="BS75" i="1"/>
  <c r="BS74" i="1"/>
  <c r="BS73" i="1"/>
  <c r="BS72" i="1"/>
  <c r="BS71" i="1"/>
  <c r="BS70" i="1"/>
  <c r="BS69" i="1"/>
  <c r="BS68" i="1"/>
  <c r="BA69" i="1"/>
  <c r="BB69" i="1"/>
  <c r="CP69" i="1"/>
  <c r="CR69" i="1"/>
  <c r="CV69" i="1"/>
  <c r="CX69" i="1"/>
  <c r="DG69" i="1"/>
  <c r="DO69" i="1"/>
  <c r="BA70" i="1"/>
  <c r="BB70" i="1"/>
  <c r="BY70" i="1"/>
  <c r="BA71" i="1"/>
  <c r="BB71" i="1"/>
  <c r="BA72" i="1"/>
  <c r="BB72" i="1"/>
  <c r="CU72" i="1"/>
  <c r="CW72" i="1"/>
  <c r="DB72" i="1"/>
  <c r="DD72" i="1"/>
  <c r="BA73" i="1"/>
  <c r="BB73" i="1"/>
  <c r="BB74" i="1"/>
  <c r="BB75" i="1"/>
  <c r="CL75" i="1"/>
  <c r="CQ75" i="1"/>
  <c r="CR75" i="1"/>
  <c r="CV75" i="1"/>
  <c r="CX75" i="1"/>
  <c r="DL75" i="1"/>
  <c r="DM75" i="1"/>
  <c r="BB76" i="1"/>
  <c r="BA77" i="1"/>
  <c r="BB77" i="1"/>
  <c r="BA78" i="1"/>
  <c r="BB78" i="1"/>
  <c r="CP78" i="1"/>
  <c r="CQ78" i="1"/>
  <c r="CV78" i="1"/>
  <c r="CX78" i="1"/>
  <c r="DB78" i="1"/>
  <c r="DD78" i="1"/>
  <c r="DJ78" i="1"/>
  <c r="DL78" i="1"/>
  <c r="BA79" i="1"/>
  <c r="BB79" i="1"/>
  <c r="BA80" i="1"/>
  <c r="BB80" i="1"/>
  <c r="BA81" i="1"/>
  <c r="BB81" i="1"/>
  <c r="CL81" i="1"/>
  <c r="CP81" i="1"/>
  <c r="CV81" i="1"/>
  <c r="CW81" i="1"/>
  <c r="CX81" i="1"/>
  <c r="DJ81" i="1"/>
  <c r="BA82" i="1"/>
  <c r="BB82" i="1"/>
  <c r="BA83" i="1"/>
  <c r="BB83" i="1"/>
  <c r="BA84" i="1"/>
  <c r="BB84" i="1"/>
  <c r="CR84" i="1"/>
  <c r="DB84" i="1"/>
  <c r="DD84" i="1"/>
  <c r="DJ84" i="1"/>
  <c r="DM84" i="1"/>
  <c r="BA85" i="1"/>
  <c r="BB85" i="1"/>
  <c r="BA86" i="1"/>
  <c r="BB86" i="1"/>
  <c r="BA87" i="1"/>
  <c r="BB87" i="1"/>
  <c r="CL87" i="1"/>
  <c r="CV87" i="1"/>
  <c r="CX87" i="1"/>
  <c r="DM87" i="1"/>
  <c r="BA88" i="1"/>
  <c r="BB88" i="1"/>
  <c r="BA89" i="1"/>
  <c r="BB89" i="1"/>
  <c r="BA90" i="1"/>
  <c r="BB90" i="1"/>
  <c r="BS90" i="1"/>
  <c r="CR90" i="1"/>
  <c r="CW90" i="1"/>
  <c r="DB90" i="1"/>
  <c r="DC90" i="1"/>
  <c r="DD90" i="1"/>
  <c r="BA91" i="1"/>
  <c r="BB91" i="1"/>
  <c r="BS91" i="1"/>
  <c r="BA92" i="1"/>
  <c r="BB92" i="1"/>
  <c r="BS92" i="1"/>
  <c r="BA93" i="1"/>
  <c r="BB93" i="1"/>
  <c r="BS93" i="1"/>
  <c r="CL93" i="1"/>
  <c r="CV93" i="1"/>
  <c r="CX93" i="1"/>
  <c r="DM93" i="1"/>
  <c r="DP93" i="1"/>
  <c r="BA94" i="1"/>
  <c r="BB94" i="1"/>
  <c r="BS94" i="1"/>
  <c r="BS95" i="1"/>
  <c r="BS96" i="1"/>
  <c r="CR96" i="1"/>
  <c r="DB96" i="1"/>
  <c r="DD96" i="1"/>
  <c r="DM96" i="1"/>
  <c r="DP96" i="1"/>
  <c r="BB97" i="1"/>
  <c r="BS97" i="1"/>
  <c r="BS98" i="1"/>
  <c r="BA99" i="1"/>
  <c r="BB99" i="1"/>
  <c r="BA100" i="1"/>
  <c r="BB100" i="1"/>
  <c r="BA101" i="1"/>
  <c r="BB101" i="1"/>
  <c r="BB102" i="1"/>
  <c r="CW102" i="1"/>
  <c r="CX102" i="1"/>
  <c r="DB102" i="1"/>
  <c r="DD102" i="1"/>
  <c r="BA103" i="1"/>
  <c r="BB103" i="1"/>
  <c r="BA104" i="1"/>
  <c r="BB104" i="1"/>
  <c r="BA105" i="1"/>
  <c r="BB105" i="1"/>
  <c r="CR105" i="1"/>
  <c r="CX105" i="1"/>
  <c r="DM105" i="1"/>
  <c r="BB106" i="1"/>
  <c r="BA108" i="1"/>
  <c r="BB108" i="1"/>
  <c r="CR108" i="1"/>
  <c r="CX108" i="1"/>
  <c r="DM108" i="1"/>
  <c r="BA109" i="1"/>
  <c r="BB109" i="1"/>
  <c r="BA110" i="1"/>
  <c r="BB110" i="1"/>
  <c r="BA111" i="1"/>
  <c r="BB111" i="1"/>
  <c r="CB111" i="1"/>
  <c r="DD111" i="1"/>
  <c r="BA112" i="1"/>
  <c r="BB112" i="1"/>
  <c r="CX114" i="1"/>
  <c r="BB115" i="1"/>
  <c r="CX117" i="1"/>
  <c r="DD117" i="1"/>
  <c r="BA120" i="1"/>
  <c r="BB120" i="1"/>
  <c r="CX120" i="1"/>
  <c r="BA121" i="1"/>
  <c r="BB121" i="1"/>
  <c r="BQ121" i="1"/>
  <c r="BA122" i="1"/>
  <c r="BB122" i="1"/>
  <c r="BQ122" i="1"/>
  <c r="BA123" i="1"/>
  <c r="BB123" i="1"/>
  <c r="BQ123" i="1"/>
  <c r="DD123" i="1"/>
  <c r="BA124" i="1"/>
  <c r="BB124" i="1"/>
  <c r="BQ124" i="1"/>
  <c r="BA125" i="1"/>
  <c r="BB125" i="1"/>
  <c r="BQ125" i="1"/>
  <c r="BX147" i="1"/>
  <c r="BX148" i="1"/>
  <c r="BA126" i="1"/>
  <c r="BB126" i="1"/>
  <c r="BP126" i="1"/>
  <c r="BQ126" i="1"/>
  <c r="CX126" i="1"/>
  <c r="BB127" i="1"/>
  <c r="BP127" i="1"/>
  <c r="BQ127" i="1"/>
  <c r="BB128" i="1"/>
  <c r="BP128" i="1"/>
  <c r="BQ128" i="1"/>
  <c r="BB129" i="1"/>
  <c r="BP129" i="1"/>
  <c r="BQ129" i="1"/>
  <c r="DD129" i="1"/>
  <c r="BB130" i="1"/>
  <c r="BP130" i="1"/>
  <c r="BQ130" i="1"/>
  <c r="BA131" i="1"/>
  <c r="BB131" i="1"/>
  <c r="BP131" i="1"/>
  <c r="BQ131" i="1"/>
  <c r="BA132" i="1"/>
  <c r="BB132" i="1"/>
  <c r="BP132" i="1"/>
  <c r="BQ132" i="1"/>
  <c r="CX132" i="1"/>
  <c r="BA133" i="1"/>
  <c r="BB133" i="1"/>
  <c r="BA134" i="1"/>
  <c r="BB134" i="1"/>
  <c r="BA135" i="1"/>
  <c r="BB135" i="1"/>
  <c r="BP135" i="1"/>
  <c r="BQ135" i="1"/>
  <c r="BR135" i="1"/>
  <c r="BS135" i="1"/>
  <c r="BT135" i="1"/>
  <c r="DD135" i="1"/>
  <c r="BA136" i="1"/>
  <c r="BB136" i="1"/>
  <c r="BS136" i="1"/>
  <c r="BT136" i="1"/>
  <c r="BA137" i="1"/>
  <c r="BB137" i="1"/>
  <c r="BP137" i="1"/>
  <c r="BQ137" i="1"/>
  <c r="BR137" i="1"/>
  <c r="BS137" i="1"/>
  <c r="BT137" i="1"/>
  <c r="BA138" i="1"/>
  <c r="BB138" i="1"/>
  <c r="BK138" i="1"/>
  <c r="BL138" i="1"/>
  <c r="BM138" i="1"/>
  <c r="BN138" i="1"/>
  <c r="BP138" i="1"/>
  <c r="BQ138" i="1"/>
  <c r="BR138" i="1"/>
  <c r="BS138" i="1"/>
  <c r="BT138" i="1"/>
  <c r="BA139" i="1"/>
  <c r="BB139" i="1"/>
  <c r="BK139" i="1"/>
  <c r="BL139" i="1"/>
  <c r="BM139" i="1"/>
  <c r="BN139" i="1"/>
  <c r="BP139" i="1"/>
  <c r="BQ139" i="1"/>
  <c r="BR139" i="1"/>
  <c r="BS139" i="1"/>
  <c r="BT139" i="1"/>
  <c r="BA140" i="1"/>
  <c r="BK140" i="1"/>
  <c r="BL140" i="1"/>
  <c r="BM140" i="1"/>
  <c r="BN140" i="1"/>
  <c r="BP140" i="1"/>
  <c r="BQ140" i="1"/>
  <c r="BR140" i="1"/>
  <c r="BS140" i="1"/>
  <c r="BT140" i="1"/>
  <c r="BA141" i="1"/>
  <c r="BB141" i="1"/>
  <c r="BK141" i="1"/>
  <c r="BL141" i="1"/>
  <c r="BM141" i="1"/>
  <c r="BN141" i="1"/>
  <c r="BP141" i="1"/>
  <c r="BQ141" i="1"/>
  <c r="BR141" i="1"/>
  <c r="BS141" i="1"/>
  <c r="BT141" i="1"/>
  <c r="DD141" i="1"/>
  <c r="BA142" i="1"/>
  <c r="BB142" i="1"/>
  <c r="BK142" i="1"/>
  <c r="BL142" i="1"/>
  <c r="BM142" i="1"/>
  <c r="BN142" i="1"/>
  <c r="BP142" i="1"/>
  <c r="BQ142" i="1"/>
  <c r="BR142" i="1"/>
  <c r="BS142" i="1"/>
  <c r="BT142" i="1"/>
  <c r="BA143" i="1"/>
  <c r="BB143" i="1"/>
  <c r="BI143" i="1"/>
  <c r="BK143" i="1"/>
  <c r="BL143" i="1"/>
  <c r="BM143" i="1"/>
  <c r="BN143" i="1"/>
  <c r="BO143" i="1"/>
  <c r="BP143" i="1"/>
  <c r="BQ143" i="1"/>
  <c r="BR143" i="1"/>
  <c r="BS143" i="1"/>
  <c r="BT143" i="1"/>
  <c r="BA144" i="1"/>
  <c r="BB144" i="1"/>
  <c r="BI144" i="1"/>
  <c r="BK144" i="1"/>
  <c r="BL144" i="1"/>
  <c r="BM144" i="1"/>
  <c r="BN144" i="1"/>
  <c r="BO144" i="1"/>
  <c r="BP144" i="1"/>
  <c r="BQ144" i="1"/>
  <c r="BR144" i="1"/>
  <c r="BS144" i="1"/>
  <c r="BT144" i="1"/>
  <c r="BA145" i="1"/>
  <c r="BI145" i="1"/>
  <c r="BK145" i="1"/>
  <c r="BL145" i="1"/>
  <c r="BM145" i="1"/>
  <c r="BN145" i="1"/>
  <c r="BO145" i="1"/>
  <c r="BP145" i="1"/>
  <c r="BQ145" i="1"/>
  <c r="BR145" i="1"/>
  <c r="BS145" i="1"/>
  <c r="BT145" i="1"/>
  <c r="BA146" i="1"/>
  <c r="BB146" i="1"/>
  <c r="BI146" i="1"/>
  <c r="BJ146" i="1"/>
  <c r="BK146" i="1"/>
  <c r="BL146" i="1"/>
  <c r="BM146" i="1"/>
  <c r="BN146" i="1"/>
  <c r="BO146" i="1"/>
  <c r="BP146" i="1"/>
  <c r="BQ146" i="1"/>
  <c r="BR146" i="1"/>
  <c r="BS146" i="1"/>
  <c r="BT146" i="1"/>
  <c r="BA147" i="1"/>
  <c r="BB147" i="1"/>
  <c r="BI147" i="1"/>
  <c r="BJ147" i="1"/>
  <c r="BK147" i="1"/>
  <c r="BL147" i="1"/>
  <c r="BM147" i="1"/>
  <c r="BN147" i="1"/>
  <c r="BO147" i="1"/>
  <c r="BP147" i="1"/>
  <c r="BQ147" i="1"/>
  <c r="BR147" i="1"/>
  <c r="BS147" i="1"/>
  <c r="BT147" i="1"/>
  <c r="DD147" i="1"/>
  <c r="BA148" i="1"/>
  <c r="BB148" i="1"/>
  <c r="BI148" i="1"/>
  <c r="BJ148" i="1"/>
  <c r="BK148" i="1"/>
  <c r="BL148" i="1"/>
  <c r="BM148" i="1"/>
  <c r="BN148" i="1"/>
  <c r="BO148" i="1"/>
  <c r="BP148" i="1"/>
  <c r="BQ148" i="1"/>
  <c r="BR148" i="1"/>
  <c r="BS148" i="1"/>
  <c r="BT148" i="1"/>
  <c r="BA149" i="1"/>
  <c r="BB149" i="1"/>
  <c r="BA150" i="1"/>
  <c r="BB150" i="1"/>
  <c r="BA151" i="1"/>
  <c r="BB151" i="1"/>
  <c r="BA152" i="1"/>
  <c r="BB152" i="1"/>
  <c r="BB153" i="1"/>
  <c r="BB154" i="1"/>
  <c r="BB155" i="1"/>
  <c r="BA156" i="1"/>
  <c r="BA157" i="1"/>
  <c r="BB157" i="1"/>
  <c r="BA159" i="1"/>
  <c r="BB159" i="1"/>
  <c r="BA160" i="1"/>
  <c r="BA162" i="1"/>
  <c r="BB162" i="1"/>
  <c r="BA163" i="1"/>
  <c r="BB163" i="1"/>
  <c r="BA164" i="1"/>
  <c r="BB164" i="1"/>
  <c r="BA165" i="1"/>
  <c r="BB165" i="1"/>
  <c r="BA166" i="1"/>
  <c r="BB166" i="1"/>
  <c r="BA167" i="1"/>
  <c r="BB167" i="1"/>
  <c r="BA168" i="1"/>
  <c r="BB168" i="1"/>
  <c r="BS182" i="1"/>
  <c r="BS181" i="1"/>
  <c r="BS180" i="1"/>
  <c r="BS179" i="1"/>
  <c r="BS178" i="1"/>
  <c r="BS177" i="1"/>
  <c r="BS176" i="1"/>
  <c r="BS175" i="1"/>
  <c r="BS174" i="1"/>
  <c r="BS173" i="1"/>
  <c r="BS172" i="1"/>
  <c r="BS171" i="1"/>
  <c r="BS170" i="1"/>
  <c r="BS169" i="1"/>
  <c r="BS168" i="1"/>
  <c r="BX168" i="1"/>
  <c r="BA169" i="1"/>
  <c r="BB169" i="1"/>
  <c r="BX169" i="1"/>
  <c r="BA170" i="1"/>
  <c r="BB170" i="1"/>
  <c r="BX170" i="1"/>
  <c r="BA171" i="1"/>
  <c r="BB171" i="1"/>
  <c r="BA172" i="1"/>
  <c r="BB172" i="1"/>
  <c r="BA173" i="1"/>
  <c r="BB173" i="1"/>
  <c r="BA174" i="1"/>
  <c r="BB174" i="1"/>
  <c r="BA176" i="1"/>
  <c r="BB176" i="1"/>
  <c r="BA179" i="1"/>
  <c r="BB179" i="1"/>
  <c r="BB180" i="1"/>
  <c r="BB183" i="1"/>
  <c r="BB184" i="1"/>
  <c r="BA186" i="1"/>
  <c r="BB186" i="1"/>
  <c r="BA187" i="1"/>
  <c r="BB187" i="1"/>
  <c r="BA188" i="1"/>
  <c r="BB188" i="1"/>
  <c r="BA189" i="1"/>
  <c r="BB189" i="1"/>
  <c r="BA190" i="1"/>
  <c r="BB190" i="1"/>
  <c r="BS190" i="1"/>
  <c r="BA191" i="1"/>
  <c r="BB191" i="1"/>
  <c r="BS191" i="1"/>
  <c r="BA192" i="1"/>
  <c r="BB192" i="1"/>
  <c r="BS192" i="1"/>
  <c r="BA193" i="1"/>
  <c r="BB193" i="1"/>
  <c r="BS193" i="1"/>
  <c r="BS194" i="1"/>
  <c r="BA195" i="1"/>
  <c r="BB195" i="1"/>
  <c r="BS195" i="1"/>
  <c r="BS196" i="1"/>
  <c r="BB197" i="1"/>
  <c r="BS197" i="1"/>
  <c r="BA198" i="1"/>
  <c r="BB198" i="1"/>
  <c r="BS198" i="1"/>
  <c r="BB199" i="1"/>
  <c r="BA201" i="1"/>
  <c r="BB201" i="1"/>
  <c r="BA203" i="1"/>
  <c r="BB203" i="1"/>
  <c r="BA204" i="1"/>
  <c r="BB204" i="1"/>
  <c r="BA205" i="1"/>
  <c r="BB205" i="1"/>
  <c r="BA207" i="1"/>
  <c r="BB207" i="1"/>
  <c r="BA208" i="1"/>
  <c r="BB208" i="1"/>
  <c r="BA209" i="1"/>
  <c r="BB209" i="1"/>
  <c r="BA210" i="1"/>
  <c r="BB210" i="1"/>
  <c r="BA211" i="1"/>
  <c r="BB211" i="1"/>
  <c r="BA212" i="1"/>
  <c r="BB212" i="1"/>
  <c r="BA213" i="1"/>
  <c r="BB213" i="1"/>
  <c r="BA214" i="1"/>
  <c r="BB214" i="1"/>
  <c r="BA215" i="1"/>
  <c r="BB215" i="1"/>
  <c r="BA216" i="1"/>
  <c r="BA217" i="1"/>
  <c r="BB217" i="1"/>
  <c r="BA218" i="1"/>
  <c r="BB218" i="1"/>
  <c r="BA219" i="1"/>
  <c r="BA220" i="1"/>
  <c r="BB220" i="1"/>
  <c r="BA221" i="1"/>
  <c r="BB221" i="1"/>
  <c r="BA222" i="1"/>
  <c r="BB222" i="1"/>
  <c r="BA223" i="1"/>
  <c r="BA224" i="1"/>
  <c r="BB224" i="1"/>
  <c r="BA225" i="1"/>
  <c r="BB225" i="1"/>
  <c r="BA226" i="1"/>
  <c r="BB226" i="1"/>
  <c r="BA227" i="1"/>
  <c r="BB227" i="1"/>
  <c r="BB228" i="1"/>
  <c r="BB229" i="1"/>
  <c r="BB230" i="1"/>
  <c r="BB231" i="1"/>
  <c r="BA232" i="1"/>
  <c r="BB232" i="1"/>
  <c r="BA233" i="1"/>
  <c r="BB233" i="1"/>
  <c r="BA234" i="1"/>
  <c r="BB234" i="1"/>
  <c r="BA235" i="1"/>
  <c r="BB235" i="1"/>
  <c r="BA236" i="1"/>
  <c r="BB236" i="1"/>
  <c r="BA237" i="1"/>
  <c r="BB237" i="1"/>
  <c r="BA238" i="1"/>
  <c r="BB238" i="1"/>
  <c r="BA239" i="1"/>
  <c r="BB239" i="1"/>
  <c r="BA240" i="1"/>
  <c r="BB240" i="1"/>
  <c r="BA241" i="1"/>
  <c r="BB241" i="1"/>
  <c r="BA242" i="1"/>
  <c r="BB242" i="1"/>
  <c r="BA243" i="1"/>
  <c r="BB243" i="1"/>
  <c r="BA244" i="1"/>
  <c r="BB244" i="1"/>
  <c r="BA248" i="1"/>
  <c r="BB248" i="1"/>
  <c r="BA249" i="1"/>
  <c r="BB249" i="1"/>
  <c r="BA250" i="1"/>
  <c r="BB250" i="1"/>
  <c r="BA251" i="1"/>
  <c r="BB251" i="1"/>
  <c r="BA252" i="1"/>
  <c r="BB252" i="1"/>
  <c r="BA253" i="1"/>
  <c r="BB253" i="1"/>
  <c r="BA254" i="1"/>
  <c r="BB254" i="1"/>
  <c r="BA255" i="1"/>
  <c r="BB255" i="1"/>
  <c r="BA256" i="1"/>
  <c r="BB256" i="1"/>
  <c r="BA257" i="1"/>
  <c r="BB257" i="1"/>
  <c r="BA258" i="1"/>
  <c r="BB258" i="1"/>
  <c r="BA259" i="1"/>
  <c r="BB259" i="1"/>
  <c r="BA260" i="1"/>
  <c r="BB260" i="1"/>
  <c r="BA261" i="1"/>
  <c r="BB261" i="1"/>
  <c r="BA262" i="1"/>
  <c r="BB262" i="1"/>
  <c r="BA263" i="1"/>
  <c r="BB263" i="1"/>
  <c r="BA264" i="1"/>
  <c r="BB264" i="1"/>
  <c r="BA265" i="1"/>
  <c r="BB265" i="1"/>
  <c r="BA266" i="1"/>
  <c r="BB266" i="1"/>
  <c r="BA267" i="1"/>
  <c r="BB267" i="1"/>
  <c r="BA268" i="1"/>
  <c r="BB268" i="1"/>
  <c r="BA269" i="1"/>
  <c r="BB269" i="1"/>
  <c r="BA270" i="1"/>
  <c r="BB270" i="1"/>
  <c r="BA271" i="1"/>
  <c r="BB271" i="1"/>
  <c r="BA272" i="1"/>
  <c r="BB272" i="1"/>
  <c r="BA273" i="1"/>
  <c r="BB273" i="1"/>
  <c r="BA274" i="1"/>
  <c r="BB274" i="1"/>
  <c r="BA275" i="1"/>
  <c r="BB275" i="1"/>
  <c r="BA276" i="1"/>
  <c r="BB276" i="1"/>
  <c r="BA277" i="1"/>
  <c r="BB277" i="1"/>
  <c r="BA278" i="1"/>
  <c r="BB278" i="1"/>
  <c r="BA279" i="1"/>
  <c r="BB279" i="1"/>
  <c r="BA280" i="1"/>
  <c r="BB280" i="1"/>
  <c r="BA281" i="1"/>
  <c r="BB281" i="1"/>
  <c r="BA282" i="1"/>
  <c r="BB282" i="1"/>
  <c r="BA283" i="1"/>
  <c r="BB283" i="1"/>
  <c r="BA284" i="1"/>
  <c r="BB284" i="1"/>
  <c r="BA285" i="1"/>
  <c r="BB285" i="1"/>
  <c r="BA286" i="1"/>
  <c r="BB286" i="1"/>
  <c r="BA287" i="1"/>
  <c r="BB287" i="1"/>
  <c r="BA288" i="1"/>
  <c r="BB288" i="1"/>
  <c r="BA289" i="1"/>
  <c r="BB289" i="1"/>
  <c r="BA290" i="1"/>
  <c r="BB290" i="1"/>
  <c r="BA291" i="1"/>
  <c r="BB291" i="1"/>
  <c r="BA292" i="1"/>
  <c r="BB292" i="1"/>
  <c r="BA293" i="1"/>
  <c r="BB293" i="1"/>
  <c r="BA294" i="1"/>
  <c r="BB294" i="1"/>
  <c r="BA295" i="1"/>
  <c r="BB295" i="1"/>
  <c r="BA296" i="1"/>
  <c r="BB296" i="1"/>
  <c r="BA297" i="1"/>
  <c r="BB297" i="1"/>
  <c r="BA298" i="1"/>
  <c r="BB298" i="1"/>
  <c r="BA299" i="1"/>
  <c r="BB299" i="1"/>
  <c r="BA300" i="1"/>
  <c r="BB300" i="1"/>
  <c r="BA301" i="1"/>
  <c r="BB301" i="1"/>
  <c r="BA302" i="1"/>
  <c r="BB302" i="1"/>
  <c r="BA303" i="1"/>
  <c r="BB303" i="1"/>
  <c r="BA304" i="1"/>
  <c r="BB304" i="1"/>
  <c r="BA305" i="1"/>
  <c r="BB305" i="1"/>
  <c r="BA306" i="1"/>
  <c r="BB306" i="1"/>
  <c r="BA307" i="1"/>
  <c r="BB307" i="1"/>
  <c r="BA308" i="1"/>
  <c r="BB308" i="1"/>
  <c r="BA309" i="1"/>
  <c r="BB309" i="1"/>
  <c r="BA310" i="1"/>
  <c r="BB310" i="1"/>
  <c r="BA311" i="1"/>
  <c r="BB311" i="1"/>
  <c r="BA312" i="1"/>
  <c r="BB312" i="1"/>
  <c r="G21" i="1" l="1"/>
  <c r="BM113" i="1" s="1"/>
  <c r="BY169" i="1" s="1"/>
  <c r="BX139" i="1"/>
  <c r="BX140" i="1" s="1"/>
  <c r="BX141" i="1" s="1"/>
  <c r="BY168" i="1"/>
  <c r="BK152" i="1"/>
  <c r="BM152" i="1" s="1"/>
  <c r="BS162" i="1"/>
  <c r="BX104" i="1"/>
  <c r="G28" i="1"/>
  <c r="DD63" i="1"/>
  <c r="CL45" i="1"/>
  <c r="CR54" i="1"/>
  <c r="CX60" i="1"/>
  <c r="FB33" i="1"/>
  <c r="FB32" i="1"/>
  <c r="FC33" i="1" s="1"/>
  <c r="EZ36" i="1"/>
  <c r="EZ35" i="1"/>
  <c r="FA36" i="1" s="1"/>
  <c r="ET38" i="1"/>
  <c r="EU39" i="1" s="1"/>
  <c r="EU29" i="1"/>
  <c r="EV30" i="1" s="1"/>
  <c r="GY58" i="1"/>
  <c r="EV31" i="1"/>
  <c r="GW58" i="1"/>
  <c r="GV43" i="1"/>
  <c r="EW40" i="1"/>
  <c r="EZ37" i="1"/>
  <c r="HB43" i="1"/>
  <c r="EW28" i="1"/>
  <c r="ET31" i="1"/>
  <c r="EV37" i="1"/>
  <c r="EU40" i="1"/>
  <c r="GX43" i="1"/>
  <c r="BX4" i="1"/>
  <c r="BS62" i="1"/>
  <c r="BY68" i="1"/>
  <c r="BY62" i="1"/>
  <c r="BX57" i="1"/>
  <c r="BK52" i="1"/>
  <c r="BM52" i="1" s="1"/>
  <c r="BN12" i="1"/>
  <c r="C28" i="1"/>
  <c r="DS6" i="1" s="1"/>
  <c r="C23" i="1"/>
  <c r="BM15" i="1" s="1"/>
  <c r="C19" i="1"/>
  <c r="BO3" i="1" s="1"/>
  <c r="BY163" i="1" l="1"/>
  <c r="BX157" i="1"/>
  <c r="BY170" i="1"/>
  <c r="BN112" i="1"/>
  <c r="BY162" i="1"/>
  <c r="BX111" i="1"/>
  <c r="BX105" i="1"/>
  <c r="BX106" i="1" s="1"/>
  <c r="BX107" i="1" s="1"/>
  <c r="BK154" i="1"/>
  <c r="BK153" i="1" s="1"/>
  <c r="BN152" i="1" s="1"/>
  <c r="BN155" i="1" s="1"/>
  <c r="BS163" i="1"/>
  <c r="BS164" i="1" s="1"/>
  <c r="BX142" i="1"/>
  <c r="EO13" i="1"/>
  <c r="EM19" i="1"/>
  <c r="EH22" i="1"/>
  <c r="EG13" i="1"/>
  <c r="GO16" i="1"/>
  <c r="EG19" i="1"/>
  <c r="EJ22" i="1"/>
  <c r="EH10" i="1"/>
  <c r="EI13" i="1"/>
  <c r="EM16" i="1"/>
  <c r="GI16" i="1"/>
  <c r="EI19" i="1"/>
  <c r="EJ10" i="1"/>
  <c r="GJ31" i="1"/>
  <c r="GK16" i="1"/>
  <c r="GL31" i="1"/>
  <c r="EW29" i="1"/>
  <c r="EX30" i="1"/>
  <c r="EW30" i="1"/>
  <c r="EU109" i="1" s="1"/>
  <c r="FB13" i="1"/>
  <c r="EZ16" i="1"/>
  <c r="GX16" i="1"/>
  <c r="EZ19" i="1"/>
  <c r="EU10" i="1"/>
  <c r="ET13" i="1"/>
  <c r="ET19" i="1"/>
  <c r="EW10" i="1"/>
  <c r="EV13" i="1"/>
  <c r="HB16" i="1"/>
  <c r="EV19" i="1"/>
  <c r="EU22" i="1"/>
  <c r="EW22" i="1"/>
  <c r="GV16" i="1"/>
  <c r="GW31" i="1"/>
  <c r="GY31" i="1"/>
  <c r="EU42" i="1"/>
  <c r="EU41" i="1"/>
  <c r="EV42" i="1"/>
  <c r="HB45" i="1"/>
  <c r="DD69" i="1" s="1"/>
  <c r="HB44" i="1"/>
  <c r="HC45" i="1" s="1"/>
  <c r="GW59" i="1"/>
  <c r="GX60" i="1" s="1"/>
  <c r="GW60" i="1"/>
  <c r="HK33" i="1"/>
  <c r="DS73" i="1"/>
  <c r="CH6" i="1" s="1"/>
  <c r="CN6" i="1" s="1"/>
  <c r="BS63" i="1"/>
  <c r="BS64" i="1" s="1"/>
  <c r="BK54" i="1"/>
  <c r="BK53" i="1" s="1"/>
  <c r="BN52" i="1" s="1"/>
  <c r="BN55" i="1" s="1"/>
  <c r="EV38" i="1"/>
  <c r="EW39" i="1" s="1"/>
  <c r="EV39" i="1"/>
  <c r="CK39" i="1" s="1"/>
  <c r="EZ39" i="1"/>
  <c r="EZ38" i="1"/>
  <c r="FA39" i="1" s="1"/>
  <c r="EV32" i="1"/>
  <c r="EW33" i="1" s="1"/>
  <c r="EV33" i="1"/>
  <c r="BX42" i="1"/>
  <c r="DW10" i="1"/>
  <c r="EB13" i="1"/>
  <c r="DZ16" i="1"/>
  <c r="GB16" i="1"/>
  <c r="DZ19" i="1"/>
  <c r="DT13" i="1"/>
  <c r="DS81" i="1"/>
  <c r="DS82" i="1" s="1"/>
  <c r="DS85" i="1" s="1"/>
  <c r="FV16" i="1"/>
  <c r="DT19" i="1"/>
  <c r="DV13" i="1"/>
  <c r="FX16" i="1"/>
  <c r="DV19" i="1"/>
  <c r="DU22" i="1"/>
  <c r="DU10" i="1"/>
  <c r="DU81" i="1"/>
  <c r="DU82" i="1" s="1"/>
  <c r="DW22" i="1"/>
  <c r="DS90" i="1"/>
  <c r="DS91" i="1" s="1"/>
  <c r="FW31" i="1"/>
  <c r="FY31" i="1"/>
  <c r="BX11" i="1"/>
  <c r="BX12" i="1" s="1"/>
  <c r="BX13" i="1" s="1"/>
  <c r="BX14" i="1" s="1"/>
  <c r="BX5" i="1"/>
  <c r="BX6" i="1" s="1"/>
  <c r="BX7" i="1" s="1"/>
  <c r="ET33" i="1"/>
  <c r="ET32" i="1"/>
  <c r="EU33" i="1"/>
  <c r="EW41" i="1"/>
  <c r="EX42" i="1" s="1"/>
  <c r="EW42" i="1"/>
  <c r="GY59" i="1"/>
  <c r="GZ60" i="1" s="1"/>
  <c r="GY60" i="1"/>
  <c r="CK36" i="1"/>
  <c r="ES118" i="1"/>
  <c r="DG39" i="1"/>
  <c r="GX45" i="1"/>
  <c r="GX44" i="1"/>
  <c r="GY45" i="1" s="1"/>
  <c r="GV46" i="1"/>
  <c r="GX46" i="1"/>
  <c r="GV44" i="1"/>
  <c r="GW45" i="1"/>
  <c r="GV45" i="1"/>
  <c r="CG6" i="1"/>
  <c r="DE6" i="1"/>
  <c r="CZ6" i="1"/>
  <c r="CJ6" i="1"/>
  <c r="CT6" i="1"/>
  <c r="BX112" i="1" l="1"/>
  <c r="BX113" i="1" s="1"/>
  <c r="BX114" i="1" s="1"/>
  <c r="CB108" i="1"/>
  <c r="CB109" i="1"/>
  <c r="BR152" i="1"/>
  <c r="BQ153" i="1"/>
  <c r="BQ154" i="1"/>
  <c r="BP151" i="1"/>
  <c r="BQ155" i="1"/>
  <c r="BQ156" i="1" s="1"/>
  <c r="BR151" i="1"/>
  <c r="BQ151" i="1"/>
  <c r="BP153" i="1"/>
  <c r="BR154" i="1"/>
  <c r="BP155" i="1"/>
  <c r="BP156" i="1" s="1"/>
  <c r="BQ152" i="1"/>
  <c r="BR156" i="1"/>
  <c r="BR153" i="1"/>
  <c r="BP152" i="1"/>
  <c r="BP154" i="1"/>
  <c r="BR155" i="1"/>
  <c r="DC57" i="1"/>
  <c r="CW66" i="1"/>
  <c r="CQ48" i="1"/>
  <c r="DC45" i="1"/>
  <c r="DP48" i="1"/>
  <c r="GX49" i="1"/>
  <c r="GV47" i="1"/>
  <c r="GV48" i="1"/>
  <c r="GV49" i="1"/>
  <c r="GW48" i="1"/>
  <c r="DM60" i="1"/>
  <c r="DJ48" i="1"/>
  <c r="FG34" i="1"/>
  <c r="FF114" i="1"/>
  <c r="FF115" i="1" s="1"/>
  <c r="CH24" i="1"/>
  <c r="CN33" i="1"/>
  <c r="CT33" i="1" s="1"/>
  <c r="CP60" i="1"/>
  <c r="CR87" i="1"/>
  <c r="CJ51" i="1"/>
  <c r="CV72" i="1"/>
  <c r="CL78" i="1"/>
  <c r="CX111" i="1"/>
  <c r="DU23" i="1"/>
  <c r="DV24" i="1"/>
  <c r="DU24" i="1"/>
  <c r="DT21" i="1"/>
  <c r="DT20" i="1"/>
  <c r="DU21" i="1" s="1"/>
  <c r="DZ20" i="1"/>
  <c r="EA21" i="1" s="1"/>
  <c r="DZ21" i="1"/>
  <c r="DX12" i="1"/>
  <c r="DW11" i="1"/>
  <c r="DW12" i="1"/>
  <c r="DC60" i="1"/>
  <c r="DD99" i="1"/>
  <c r="DP63" i="1"/>
  <c r="GY32" i="1"/>
  <c r="GZ33" i="1" s="1"/>
  <c r="GY33" i="1"/>
  <c r="EU23" i="1"/>
  <c r="EV24" i="1" s="1"/>
  <c r="EU24" i="1"/>
  <c r="EX12" i="1"/>
  <c r="EW11" i="1"/>
  <c r="EW12" i="1"/>
  <c r="EU82" i="1" s="1"/>
  <c r="EZ20" i="1"/>
  <c r="EZ21" i="1"/>
  <c r="FA21" i="1"/>
  <c r="ES130" i="1"/>
  <c r="EU130" i="1"/>
  <c r="ES124" i="1"/>
  <c r="GK17" i="1"/>
  <c r="GL18" i="1" s="1"/>
  <c r="GI19" i="1"/>
  <c r="GK19" i="1"/>
  <c r="GK18" i="1"/>
  <c r="HO21" i="1"/>
  <c r="GI17" i="1"/>
  <c r="GI18" i="1"/>
  <c r="GJ18" i="1"/>
  <c r="EJ24" i="1"/>
  <c r="EJ23" i="1"/>
  <c r="EK24" i="1" s="1"/>
  <c r="EH23" i="1"/>
  <c r="EI24" i="1" s="1"/>
  <c r="EH24" i="1"/>
  <c r="CL51" i="1"/>
  <c r="CX72" i="1"/>
  <c r="CR60" i="1"/>
  <c r="DW23" i="1"/>
  <c r="DW24" i="1"/>
  <c r="DX24" i="1"/>
  <c r="FV17" i="1"/>
  <c r="HM21" i="1" s="1"/>
  <c r="FV18" i="1"/>
  <c r="FW18" i="1"/>
  <c r="GC18" i="1"/>
  <c r="GB17" i="1"/>
  <c r="GB18" i="1"/>
  <c r="GX33" i="1"/>
  <c r="GW33" i="1"/>
  <c r="GW32" i="1"/>
  <c r="EW21" i="1"/>
  <c r="EV20" i="1"/>
  <c r="EV21" i="1"/>
  <c r="ET21" i="1"/>
  <c r="ET20" i="1"/>
  <c r="EU21" i="1" s="1"/>
  <c r="GY18" i="1"/>
  <c r="GX19" i="1"/>
  <c r="GX17" i="1"/>
  <c r="GX18" i="1"/>
  <c r="GV19" i="1"/>
  <c r="HO36" i="1"/>
  <c r="GJ32" i="1"/>
  <c r="GK33" i="1" s="1"/>
  <c r="GJ33" i="1"/>
  <c r="EM17" i="1"/>
  <c r="EM18" i="1"/>
  <c r="EN18" i="1"/>
  <c r="EG20" i="1"/>
  <c r="EH21" i="1" s="1"/>
  <c r="EG21" i="1"/>
  <c r="EM21" i="1"/>
  <c r="EM20" i="1"/>
  <c r="EN21" i="1" s="1"/>
  <c r="GY48" i="1"/>
  <c r="GX48" i="1"/>
  <c r="GX47" i="1"/>
  <c r="HD46" i="1"/>
  <c r="BX15" i="1"/>
  <c r="BX16" i="1" s="1"/>
  <c r="BX17" i="1" s="1"/>
  <c r="BX18" i="1" s="1"/>
  <c r="BX19" i="1" s="1"/>
  <c r="BX9" i="1"/>
  <c r="DV21" i="1"/>
  <c r="DV20" i="1"/>
  <c r="DW21" i="1" s="1"/>
  <c r="C27" i="1"/>
  <c r="CB8" i="1"/>
  <c r="CB9" i="1"/>
  <c r="CW57" i="1"/>
  <c r="CQ45" i="1"/>
  <c r="FY32" i="1"/>
  <c r="FZ33" i="1" s="1"/>
  <c r="FY33" i="1"/>
  <c r="DS103" i="1"/>
  <c r="DS97" i="1"/>
  <c r="DU103" i="1"/>
  <c r="FY18" i="1"/>
  <c r="FX17" i="1"/>
  <c r="FV19" i="1"/>
  <c r="FX19" i="1"/>
  <c r="FX18" i="1"/>
  <c r="CH18" i="1"/>
  <c r="CP54" i="1"/>
  <c r="CV60" i="1"/>
  <c r="CN27" i="1"/>
  <c r="CL72" i="1"/>
  <c r="DD108" i="1"/>
  <c r="DB63" i="1"/>
  <c r="CX99" i="1"/>
  <c r="CJ45" i="1"/>
  <c r="CR81" i="1"/>
  <c r="DZ17" i="1"/>
  <c r="EA18" i="1" s="1"/>
  <c r="DZ18" i="1"/>
  <c r="DG42" i="1"/>
  <c r="GV18" i="1"/>
  <c r="GV17" i="1"/>
  <c r="GW18" i="1" s="1"/>
  <c r="HC18" i="1"/>
  <c r="HB17" i="1"/>
  <c r="HB18" i="1"/>
  <c r="DD24" i="1" s="1"/>
  <c r="ET14" i="1"/>
  <c r="EU15" i="1"/>
  <c r="ET15" i="1"/>
  <c r="EZ18" i="1"/>
  <c r="EZ17" i="1"/>
  <c r="FA18" i="1" s="1"/>
  <c r="EJ11" i="1"/>
  <c r="EK12" i="1"/>
  <c r="EJ12" i="1"/>
  <c r="EH82" i="1" s="1"/>
  <c r="EI14" i="1"/>
  <c r="EI15" i="1"/>
  <c r="EJ15" i="1"/>
  <c r="GO17" i="1"/>
  <c r="GP18" i="1"/>
  <c r="GO18" i="1"/>
  <c r="DB24" i="1" s="1"/>
  <c r="EO15" i="1"/>
  <c r="EO14" i="1"/>
  <c r="EP15" i="1"/>
  <c r="CK33" i="1"/>
  <c r="DG36" i="1"/>
  <c r="FW32" i="1"/>
  <c r="FX33" i="1" s="1"/>
  <c r="FW33" i="1"/>
  <c r="HM36" i="1"/>
  <c r="DU11" i="1"/>
  <c r="DU12" i="1"/>
  <c r="DV12" i="1"/>
  <c r="HG15" i="1"/>
  <c r="DV15" i="1"/>
  <c r="DV14" i="1"/>
  <c r="DW15" i="1" s="1"/>
  <c r="DT14" i="1"/>
  <c r="DU15" i="1" s="1"/>
  <c r="DT15" i="1"/>
  <c r="EB15" i="1"/>
  <c r="EC15" i="1"/>
  <c r="EB14" i="1"/>
  <c r="BP51" i="1"/>
  <c r="BQ52" i="1"/>
  <c r="BR52" i="1"/>
  <c r="BP54" i="1"/>
  <c r="BP55" i="1"/>
  <c r="BP56" i="1" s="1"/>
  <c r="BQ51" i="1"/>
  <c r="BR56" i="1"/>
  <c r="BQ55" i="1"/>
  <c r="BQ56" i="1" s="1"/>
  <c r="BS56" i="1" s="1"/>
  <c r="BR55" i="1"/>
  <c r="BQ53" i="1"/>
  <c r="BP52" i="1"/>
  <c r="BP53" i="1"/>
  <c r="BR51" i="1"/>
  <c r="BR53" i="1"/>
  <c r="BQ54" i="1"/>
  <c r="BR54" i="1"/>
  <c r="CK42" i="1"/>
  <c r="DG45" i="1"/>
  <c r="EW23" i="1"/>
  <c r="EX24" i="1" s="1"/>
  <c r="EW24" i="1"/>
  <c r="EV14" i="1"/>
  <c r="EV15" i="1"/>
  <c r="EW15" i="1"/>
  <c r="EU11" i="1"/>
  <c r="HK15" i="1" s="1"/>
  <c r="EU12" i="1"/>
  <c r="ES82" i="1" s="1"/>
  <c r="ES85" i="1" s="1"/>
  <c r="EV12" i="1"/>
  <c r="FB14" i="1"/>
  <c r="FC15" i="1" s="1"/>
  <c r="FB15" i="1"/>
  <c r="GM33" i="1"/>
  <c r="GL32" i="1"/>
  <c r="GL33" i="1"/>
  <c r="EI21" i="1"/>
  <c r="EJ21" i="1"/>
  <c r="EI20" i="1"/>
  <c r="EH12" i="1"/>
  <c r="EF82" i="1" s="1"/>
  <c r="EF85" i="1" s="1"/>
  <c r="EH11" i="1"/>
  <c r="EI12" i="1" s="1"/>
  <c r="EG14" i="1"/>
  <c r="EG15" i="1"/>
  <c r="EH15" i="1"/>
  <c r="CV6" i="1"/>
  <c r="CL6" i="1"/>
  <c r="CP6" i="1"/>
  <c r="DB6" i="1"/>
  <c r="DH6" i="1"/>
  <c r="DF6" i="1"/>
  <c r="DN6" i="1"/>
  <c r="DG6" i="1"/>
  <c r="DK6" i="1"/>
  <c r="CK6" i="1"/>
  <c r="CS6" i="1"/>
  <c r="CI6" i="1"/>
  <c r="CM6" i="1"/>
  <c r="CY6" i="1"/>
  <c r="BS156" i="1" l="1"/>
  <c r="BS158" i="1" s="1"/>
  <c r="BS165" i="1" s="1"/>
  <c r="BX109" i="1"/>
  <c r="BX115" i="1"/>
  <c r="BX116" i="1" s="1"/>
  <c r="BX117" i="1" s="1"/>
  <c r="BX118" i="1" s="1"/>
  <c r="BX119" i="1" s="1"/>
  <c r="BS58" i="1"/>
  <c r="BS65" i="1" s="1"/>
  <c r="BS57" i="1"/>
  <c r="CJ18" i="1"/>
  <c r="CP27" i="1"/>
  <c r="DJ54" i="1"/>
  <c r="DM72" i="1"/>
  <c r="HI15" i="1"/>
  <c r="DF27" i="1" s="1"/>
  <c r="CW69" i="1"/>
  <c r="CQ51" i="1"/>
  <c r="DE18" i="1"/>
  <c r="CG15" i="1"/>
  <c r="EH103" i="1"/>
  <c r="EF97" i="1"/>
  <c r="EF103" i="1"/>
  <c r="CG18" i="1"/>
  <c r="DE21" i="1"/>
  <c r="CT18" i="1"/>
  <c r="CZ18" i="1"/>
  <c r="CH36" i="1"/>
  <c r="CV90" i="1"/>
  <c r="CN45" i="1"/>
  <c r="CR99" i="1"/>
  <c r="CT51" i="1"/>
  <c r="CP72" i="1"/>
  <c r="CL90" i="1"/>
  <c r="CX129" i="1"/>
  <c r="CJ63" i="1"/>
  <c r="CI21" i="1"/>
  <c r="DF24" i="1"/>
  <c r="GX20" i="1"/>
  <c r="GY21" i="1" s="1"/>
  <c r="GX21" i="1"/>
  <c r="HD19" i="1"/>
  <c r="CK21" i="1"/>
  <c r="DG24" i="1"/>
  <c r="CY18" i="1"/>
  <c r="DN21" i="1"/>
  <c r="GI21" i="1"/>
  <c r="GI22" i="1"/>
  <c r="GJ21" i="1"/>
  <c r="GK22" i="1"/>
  <c r="GI20" i="1"/>
  <c r="HO24" i="1"/>
  <c r="DJ45" i="1"/>
  <c r="DP45" i="1"/>
  <c r="DM51" i="1"/>
  <c r="CK18" i="1"/>
  <c r="DG21" i="1"/>
  <c r="ES91" i="1"/>
  <c r="DO36" i="1"/>
  <c r="DA33" i="1"/>
  <c r="DB54" i="1"/>
  <c r="GV20" i="1"/>
  <c r="GV21" i="1"/>
  <c r="GW21" i="1"/>
  <c r="GV22" i="1"/>
  <c r="GX22" i="1"/>
  <c r="DC33" i="1"/>
  <c r="DP36" i="1"/>
  <c r="DD54" i="1"/>
  <c r="CI24" i="1"/>
  <c r="CL63" i="1"/>
  <c r="CR72" i="1"/>
  <c r="CX90" i="1"/>
  <c r="ES103" i="1"/>
  <c r="EU103" i="1"/>
  <c r="ES97" i="1"/>
  <c r="CK24" i="1"/>
  <c r="DG27" i="1"/>
  <c r="CG21" i="1"/>
  <c r="DE24" i="1"/>
  <c r="CN48" i="1"/>
  <c r="CR102" i="1"/>
  <c r="CP75" i="1"/>
  <c r="GX51" i="1"/>
  <c r="GV52" i="1"/>
  <c r="GX50" i="1"/>
  <c r="GY51" i="1" s="1"/>
  <c r="GX52" i="1"/>
  <c r="CI15" i="1"/>
  <c r="DF18" i="1"/>
  <c r="CL18" i="1"/>
  <c r="CR27" i="1"/>
  <c r="DN36" i="1"/>
  <c r="CY33" i="1"/>
  <c r="DB99" i="1"/>
  <c r="CZ54" i="1"/>
  <c r="DD144" i="1"/>
  <c r="DC42" i="1"/>
  <c r="CW48" i="1"/>
  <c r="CQ42" i="1"/>
  <c r="CK15" i="1"/>
  <c r="DG18" i="1"/>
  <c r="DP21" i="1"/>
  <c r="DC18" i="1"/>
  <c r="GD19" i="1"/>
  <c r="FX20" i="1"/>
  <c r="FY21" i="1" s="1"/>
  <c r="FX21" i="1"/>
  <c r="DE27" i="1"/>
  <c r="CG24" i="1"/>
  <c r="FG35" i="1"/>
  <c r="FH36" i="1" s="1"/>
  <c r="FG36" i="1"/>
  <c r="HB49" i="1"/>
  <c r="GV50" i="1"/>
  <c r="GV51" i="1"/>
  <c r="GW51" i="1"/>
  <c r="DJ51" i="1"/>
  <c r="DM69" i="1"/>
  <c r="DP60" i="1"/>
  <c r="FV22" i="1"/>
  <c r="FV21" i="1"/>
  <c r="FX22" i="1"/>
  <c r="FV20" i="1"/>
  <c r="FW21" i="1"/>
  <c r="HM24" i="1"/>
  <c r="CN39" i="1"/>
  <c r="CH30" i="1"/>
  <c r="CT45" i="1"/>
  <c r="CJ57" i="1"/>
  <c r="DD138" i="1"/>
  <c r="CZ48" i="1"/>
  <c r="CP66" i="1"/>
  <c r="DB93" i="1"/>
  <c r="CX123" i="1"/>
  <c r="CV84" i="1"/>
  <c r="CR93" i="1"/>
  <c r="CL84" i="1"/>
  <c r="BZ7" i="1"/>
  <c r="CB7" i="1" s="1"/>
  <c r="FF12" i="1"/>
  <c r="CM12" i="1" s="1"/>
  <c r="FF82" i="1"/>
  <c r="CN15" i="1" s="1"/>
  <c r="FG43" i="1"/>
  <c r="FG123" i="1"/>
  <c r="HD47" i="1"/>
  <c r="HD48" i="1"/>
  <c r="DD75" i="1" s="1"/>
  <c r="HE48" i="1"/>
  <c r="DF21" i="1"/>
  <c r="CI18" i="1"/>
  <c r="EF91" i="1"/>
  <c r="CZ24" i="1"/>
  <c r="DB69" i="1"/>
  <c r="DD114" i="1"/>
  <c r="DO21" i="1"/>
  <c r="DA18" i="1"/>
  <c r="GK20" i="1"/>
  <c r="GL21" i="1" s="1"/>
  <c r="GQ19" i="1"/>
  <c r="GK21" i="1"/>
  <c r="CL57" i="1"/>
  <c r="CR66" i="1"/>
  <c r="CX84" i="1"/>
  <c r="DD93" i="1"/>
  <c r="DP51" i="1"/>
  <c r="CW6" i="1"/>
  <c r="CQ6" i="1"/>
  <c r="DC6" i="1"/>
  <c r="DL6" i="1"/>
  <c r="DI6" i="1"/>
  <c r="DO6" i="1"/>
  <c r="CR6" i="1"/>
  <c r="DD6" i="1"/>
  <c r="CX6" i="1"/>
  <c r="CO6" i="1"/>
  <c r="DA6" i="1"/>
  <c r="CU6" i="1"/>
  <c r="DP6" i="1"/>
  <c r="DM6" i="1"/>
  <c r="DJ6" i="1"/>
  <c r="BS157" i="1" l="1"/>
  <c r="BZ107" i="1"/>
  <c r="CB107" i="1" s="1"/>
  <c r="G27" i="1"/>
  <c r="BX128" i="1"/>
  <c r="BX130" i="1" s="1"/>
  <c r="G26" i="1" s="1"/>
  <c r="BN129" i="1" s="1"/>
  <c r="BN123" i="1"/>
  <c r="BN124" i="1" s="1"/>
  <c r="BN125" i="1" s="1"/>
  <c r="DI36" i="1"/>
  <c r="DL42" i="1"/>
  <c r="FG45" i="1"/>
  <c r="FH45" i="1"/>
  <c r="FG44" i="1"/>
  <c r="HB51" i="1"/>
  <c r="DD81" i="1" s="1"/>
  <c r="HB50" i="1"/>
  <c r="HC51" i="1"/>
  <c r="CM33" i="1"/>
  <c r="CS39" i="1"/>
  <c r="CK60" i="1"/>
  <c r="CI42" i="1"/>
  <c r="GX54" i="1"/>
  <c r="HD52" i="1"/>
  <c r="GX53" i="1"/>
  <c r="GY54" i="1" s="1"/>
  <c r="DF42" i="1"/>
  <c r="DH33" i="1"/>
  <c r="DK39" i="1"/>
  <c r="DN33" i="1"/>
  <c r="DG60" i="1"/>
  <c r="CL30" i="1"/>
  <c r="CR39" i="1"/>
  <c r="DD48" i="1"/>
  <c r="CX45" i="1"/>
  <c r="GV23" i="1"/>
  <c r="GW24" i="1" s="1"/>
  <c r="HB22" i="1"/>
  <c r="GV24" i="1"/>
  <c r="DJ30" i="1"/>
  <c r="DM30" i="1"/>
  <c r="DA45" i="1"/>
  <c r="DC72" i="1"/>
  <c r="DA30" i="1"/>
  <c r="CO30" i="1"/>
  <c r="CU36" i="1"/>
  <c r="DH30" i="1"/>
  <c r="DF39" i="1"/>
  <c r="DK30" i="1"/>
  <c r="DG57" i="1"/>
  <c r="GQ21" i="1"/>
  <c r="DB30" i="1" s="1"/>
  <c r="GR21" i="1"/>
  <c r="GQ20" i="1"/>
  <c r="CM36" i="1"/>
  <c r="DG63" i="1"/>
  <c r="DH36" i="1"/>
  <c r="DK42" i="1"/>
  <c r="DF45" i="1"/>
  <c r="CX18" i="1"/>
  <c r="DD18" i="1"/>
  <c r="CY30" i="1"/>
  <c r="CI39" i="1"/>
  <c r="CS36" i="1"/>
  <c r="CK57" i="1"/>
  <c r="CM30" i="1"/>
  <c r="CQ27" i="1"/>
  <c r="CW27" i="1"/>
  <c r="GO22" i="1"/>
  <c r="GI23" i="1"/>
  <c r="HO27" i="1" s="1"/>
  <c r="GI24" i="1"/>
  <c r="DJ33" i="1"/>
  <c r="DM39" i="1"/>
  <c r="DP33" i="1"/>
  <c r="CM27" i="1"/>
  <c r="CS27" i="1"/>
  <c r="CI36" i="1"/>
  <c r="CK54" i="1"/>
  <c r="CS15" i="1"/>
  <c r="CY15" i="1"/>
  <c r="CM24" i="1"/>
  <c r="CI33" i="1"/>
  <c r="CK51" i="1"/>
  <c r="DB18" i="1"/>
  <c r="CV18" i="1"/>
  <c r="CV33" i="1"/>
  <c r="CJ24" i="1"/>
  <c r="CP33" i="1"/>
  <c r="CP15" i="1"/>
  <c r="CR15" i="1"/>
  <c r="FW24" i="1"/>
  <c r="GB22" i="1"/>
  <c r="FV23" i="1"/>
  <c r="FV24" i="1"/>
  <c r="HM27" i="1"/>
  <c r="DC48" i="1"/>
  <c r="CU27" i="1"/>
  <c r="CO27" i="1"/>
  <c r="CO12" i="1"/>
  <c r="DH15" i="1"/>
  <c r="CQ12" i="1"/>
  <c r="DC51" i="1"/>
  <c r="DP54" i="1"/>
  <c r="GD21" i="1"/>
  <c r="GD20" i="1"/>
  <c r="GE21" i="1" s="1"/>
  <c r="DP18" i="1"/>
  <c r="DM18" i="1"/>
  <c r="DJ27" i="1"/>
  <c r="DA60" i="1"/>
  <c r="DC87" i="1"/>
  <c r="DL18" i="1"/>
  <c r="DI27" i="1"/>
  <c r="DO18" i="1"/>
  <c r="GW54" i="1"/>
  <c r="GV53" i="1"/>
  <c r="GV54" i="1"/>
  <c r="DJ36" i="1"/>
  <c r="DM42" i="1"/>
  <c r="CL36" i="1"/>
  <c r="CR45" i="1"/>
  <c r="CX51" i="1"/>
  <c r="DO24" i="1"/>
  <c r="DA21" i="1"/>
  <c r="DC30" i="1"/>
  <c r="CW36" i="1"/>
  <c r="CQ30" i="1"/>
  <c r="CV51" i="1"/>
  <c r="CP45" i="1"/>
  <c r="CJ36" i="1"/>
  <c r="DN18" i="1"/>
  <c r="DK18" i="1"/>
  <c r="DF36" i="1"/>
  <c r="DH27" i="1"/>
  <c r="DG54" i="1"/>
  <c r="DL30" i="1"/>
  <c r="DI30" i="1"/>
  <c r="FF124" i="1"/>
  <c r="FG124" i="1"/>
  <c r="FX23" i="1"/>
  <c r="FV25" i="1"/>
  <c r="FX24" i="1"/>
  <c r="FX25" i="1"/>
  <c r="FY24" i="1"/>
  <c r="DC15" i="1"/>
  <c r="CW15" i="1"/>
  <c r="CQ24" i="1"/>
  <c r="DP90" i="1"/>
  <c r="DO63" i="1"/>
  <c r="DA15" i="1"/>
  <c r="CU15" i="1"/>
  <c r="CO24" i="1"/>
  <c r="CQ33" i="1"/>
  <c r="CW39" i="1"/>
  <c r="CO33" i="1"/>
  <c r="CU39" i="1"/>
  <c r="GX23" i="1"/>
  <c r="GY24" i="1" s="1"/>
  <c r="GX24" i="1"/>
  <c r="GX25" i="1"/>
  <c r="GV25" i="1"/>
  <c r="CL24" i="1"/>
  <c r="CR33" i="1"/>
  <c r="CX33" i="1" s="1"/>
  <c r="GK23" i="1"/>
  <c r="GK24" i="1"/>
  <c r="GI25" i="1"/>
  <c r="GL24" i="1"/>
  <c r="GK25" i="1"/>
  <c r="DP75" i="1"/>
  <c r="DO48" i="1"/>
  <c r="HD20" i="1"/>
  <c r="HD21" i="1"/>
  <c r="DD30" i="1" s="1"/>
  <c r="HE21" i="1"/>
  <c r="DP24" i="1" s="1"/>
  <c r="DI33" i="1"/>
  <c r="DO33" i="1"/>
  <c r="DL39" i="1"/>
  <c r="CJ30" i="1"/>
  <c r="DB48" i="1"/>
  <c r="CV45" i="1"/>
  <c r="CP39" i="1"/>
  <c r="BX28" i="1"/>
  <c r="BX30" i="1" s="1"/>
  <c r="C26" i="1" s="1"/>
  <c r="BN29" i="1" s="1"/>
  <c r="BN23" i="1"/>
  <c r="BN24" i="1" s="1"/>
  <c r="BN25" i="1" s="1"/>
  <c r="BZ106" i="1" l="1"/>
  <c r="CB106" i="1" s="1"/>
  <c r="CB113" i="1" s="1"/>
  <c r="BN126" i="1"/>
  <c r="CY21" i="1"/>
  <c r="BN26" i="1"/>
  <c r="BZ6" i="1"/>
  <c r="CB6" i="1" s="1"/>
  <c r="CB13" i="1" s="1"/>
  <c r="GV26" i="1"/>
  <c r="GW27" i="1" s="1"/>
  <c r="GV27" i="1"/>
  <c r="GQ25" i="1"/>
  <c r="GK26" i="1"/>
  <c r="GL27" i="1" s="1"/>
  <c r="GK27" i="1"/>
  <c r="GX27" i="1"/>
  <c r="GX26" i="1"/>
  <c r="GY27" i="1" s="1"/>
  <c r="HD25" i="1"/>
  <c r="CO42" i="1"/>
  <c r="CU48" i="1"/>
  <c r="CQ63" i="1"/>
  <c r="CW87" i="1"/>
  <c r="DJ72" i="1"/>
  <c r="DM102" i="1"/>
  <c r="DJ69" i="1"/>
  <c r="DM99" i="1"/>
  <c r="DI51" i="1"/>
  <c r="DL69" i="1"/>
  <c r="DN24" i="1"/>
  <c r="CM45" i="1"/>
  <c r="GD25" i="1"/>
  <c r="FX26" i="1"/>
  <c r="FX27" i="1"/>
  <c r="FY27" i="1"/>
  <c r="DM81" i="1"/>
  <c r="DJ63" i="1"/>
  <c r="DP72" i="1"/>
  <c r="DO45" i="1"/>
  <c r="CO45" i="1"/>
  <c r="CU57" i="1"/>
  <c r="CO48" i="1"/>
  <c r="CU66" i="1"/>
  <c r="DL72" i="1"/>
  <c r="DI54" i="1"/>
  <c r="DH39" i="1"/>
  <c r="CQ72" i="1"/>
  <c r="CO54" i="1"/>
  <c r="DJ66" i="1"/>
  <c r="DM90" i="1"/>
  <c r="DO60" i="1"/>
  <c r="DP87" i="1"/>
  <c r="CO51" i="1"/>
  <c r="CU69" i="1"/>
  <c r="GI26" i="1"/>
  <c r="GI27" i="1"/>
  <c r="HO30" i="1"/>
  <c r="GJ27" i="1"/>
  <c r="CN57" i="1"/>
  <c r="CP84" i="1"/>
  <c r="CR111" i="1"/>
  <c r="DC21" i="1"/>
  <c r="CZ30" i="1"/>
  <c r="DD120" i="1"/>
  <c r="DB75" i="1"/>
  <c r="DI15" i="1"/>
  <c r="DJ15" i="1"/>
  <c r="GB23" i="1"/>
  <c r="GB24" i="1"/>
  <c r="GC24" i="1"/>
  <c r="CY24" i="1" s="1"/>
  <c r="DA42" i="1"/>
  <c r="DC69" i="1"/>
  <c r="GJ24" i="1"/>
  <c r="DC84" i="1"/>
  <c r="DA57" i="1"/>
  <c r="HB23" i="1"/>
  <c r="HB24" i="1"/>
  <c r="DD36" i="1" s="1"/>
  <c r="HC24" i="1"/>
  <c r="DC24" i="1" s="1"/>
  <c r="CQ69" i="1"/>
  <c r="CW99" i="1"/>
  <c r="FV27" i="1"/>
  <c r="FV26" i="1"/>
  <c r="HM30" i="1" s="1"/>
  <c r="DI45" i="1"/>
  <c r="DL51" i="1"/>
  <c r="CQ60" i="1"/>
  <c r="CW78" i="1"/>
  <c r="GO23" i="1"/>
  <c r="GP24" i="1" s="1"/>
  <c r="GO24" i="1"/>
  <c r="DB36" i="1" s="1"/>
  <c r="CQ66" i="1"/>
  <c r="CW96" i="1"/>
  <c r="DI48" i="1"/>
  <c r="DL60" i="1"/>
  <c r="HD54" i="1"/>
  <c r="DD87" i="1" s="1"/>
  <c r="HD53" i="1"/>
  <c r="HE54" i="1" s="1"/>
  <c r="BN127" i="1" l="1"/>
  <c r="BN128" i="1"/>
  <c r="G25" i="1" s="1"/>
  <c r="BN131" i="1" s="1"/>
  <c r="G29" i="1" s="1"/>
  <c r="CB134" i="1"/>
  <c r="CB125" i="1"/>
  <c r="CB121" i="1"/>
  <c r="CB129" i="1"/>
  <c r="CB120" i="1"/>
  <c r="CB135" i="1"/>
  <c r="CB131" i="1"/>
  <c r="CB119" i="1"/>
  <c r="CB124" i="1"/>
  <c r="CB117" i="1"/>
  <c r="CB116" i="1"/>
  <c r="CB118" i="1"/>
  <c r="CB132" i="1"/>
  <c r="CB128" i="1"/>
  <c r="CB137" i="1"/>
  <c r="CB133" i="1"/>
  <c r="CB122" i="1"/>
  <c r="CB115" i="1"/>
  <c r="CB130" i="1"/>
  <c r="CB127" i="1"/>
  <c r="CB136" i="1"/>
  <c r="CB138" i="1"/>
  <c r="CB123" i="1"/>
  <c r="CB126" i="1"/>
  <c r="DA51" i="1"/>
  <c r="DC78" i="1"/>
  <c r="CZ36" i="1"/>
  <c r="DB81" i="1"/>
  <c r="DD126" i="1"/>
  <c r="CO63" i="1"/>
  <c r="DH51" i="1"/>
  <c r="CQ81" i="1"/>
  <c r="DN27" i="1"/>
  <c r="FW27" i="1"/>
  <c r="DO51" i="1"/>
  <c r="DP78" i="1"/>
  <c r="GQ27" i="1"/>
  <c r="DB42" i="1" s="1"/>
  <c r="GQ26" i="1"/>
  <c r="GR27" i="1"/>
  <c r="CB27" i="1"/>
  <c r="CB29" i="1"/>
  <c r="CB15" i="1"/>
  <c r="CB17" i="1"/>
  <c r="CB31" i="1"/>
  <c r="CB26" i="1"/>
  <c r="CB35" i="1"/>
  <c r="CB25" i="1"/>
  <c r="CB23" i="1"/>
  <c r="CB16" i="1"/>
  <c r="CB32" i="1"/>
  <c r="CB33" i="1"/>
  <c r="CB21" i="1"/>
  <c r="CB30" i="1"/>
  <c r="CB20" i="1"/>
  <c r="CB36" i="1"/>
  <c r="CB18" i="1"/>
  <c r="CB38" i="1"/>
  <c r="CB24" i="1"/>
  <c r="CB37" i="1"/>
  <c r="CB19" i="1"/>
  <c r="CB28" i="1"/>
  <c r="CB34" i="1"/>
  <c r="CB22" i="1"/>
  <c r="DP57" i="1"/>
  <c r="DP27" i="1"/>
  <c r="DO27" i="1"/>
  <c r="BN27" i="1"/>
  <c r="BN28" i="1"/>
  <c r="C25" i="1" s="1"/>
  <c r="BN31" i="1" s="1"/>
  <c r="C29" i="1" s="1"/>
  <c r="DI57" i="1"/>
  <c r="DJ75" i="1"/>
  <c r="DC54" i="1"/>
  <c r="GD27" i="1"/>
  <c r="GD26" i="1"/>
  <c r="GE27" i="1" s="1"/>
  <c r="DA24" i="1"/>
  <c r="HD26" i="1"/>
  <c r="HE27" i="1" s="1"/>
  <c r="HD27" i="1"/>
  <c r="DD42" i="1" s="1"/>
  <c r="DA48" i="1"/>
  <c r="DC75" i="1"/>
  <c r="CB154" i="1" l="1"/>
  <c r="G30" i="1"/>
  <c r="CA168" i="1"/>
  <c r="BZ170" i="1"/>
  <c r="BZ163" i="1"/>
  <c r="CA170" i="1"/>
  <c r="CA162" i="1"/>
  <c r="BT117" i="1"/>
  <c r="BZ169" i="1"/>
  <c r="BZ162" i="1"/>
  <c r="CA163" i="1"/>
  <c r="BZ168" i="1"/>
  <c r="CA169" i="1"/>
  <c r="DA27" i="1"/>
  <c r="DJ87" i="1"/>
  <c r="DI69" i="1"/>
  <c r="DP30" i="1"/>
  <c r="CZ42" i="1"/>
  <c r="DB87" i="1"/>
  <c r="DD132" i="1"/>
  <c r="BZ63" i="1"/>
  <c r="CA62" i="1"/>
  <c r="BT17" i="1"/>
  <c r="CA63" i="1"/>
  <c r="C30" i="1"/>
  <c r="BZ68" i="1"/>
  <c r="CA70" i="1"/>
  <c r="CA69" i="1"/>
  <c r="BZ62" i="1"/>
  <c r="CA68" i="1"/>
  <c r="BZ70" i="1"/>
  <c r="BZ69" i="1"/>
  <c r="CB54" i="1"/>
  <c r="DN30" i="1"/>
  <c r="DP81" i="1"/>
  <c r="DO54" i="1"/>
  <c r="DC27" i="1"/>
  <c r="CY27" i="1"/>
  <c r="DO30" i="1"/>
  <c r="CA71" i="1" l="1"/>
  <c r="CA64" i="1"/>
  <c r="BT118" i="1"/>
  <c r="BT119" i="1"/>
  <c r="BT121" i="1" s="1"/>
  <c r="BT123" i="1" s="1"/>
  <c r="CA164" i="1"/>
  <c r="CA171" i="1"/>
  <c r="DO57" i="1"/>
  <c r="DP84" i="1"/>
  <c r="CE117" i="1"/>
  <c r="CE93" i="1"/>
  <c r="CE87" i="1"/>
  <c r="CE105" i="1"/>
  <c r="CE54" i="1"/>
  <c r="CE84" i="1"/>
  <c r="CE120" i="1"/>
  <c r="CE126" i="1"/>
  <c r="CE57" i="1"/>
  <c r="CE129" i="1"/>
  <c r="CE18" i="1"/>
  <c r="CE39" i="1"/>
  <c r="CE108" i="1"/>
  <c r="CE33" i="1"/>
  <c r="CE123" i="1"/>
  <c r="CE114" i="1"/>
  <c r="CE99" i="1"/>
  <c r="CE135" i="1"/>
  <c r="CE147" i="1"/>
  <c r="CE48" i="1"/>
  <c r="CE42" i="1"/>
  <c r="CE144" i="1"/>
  <c r="CE63" i="1"/>
  <c r="CE132" i="1"/>
  <c r="CE66" i="1"/>
  <c r="CE21" i="1"/>
  <c r="CE111" i="1"/>
  <c r="CE141" i="1"/>
  <c r="CE69" i="1"/>
  <c r="CE102" i="1"/>
  <c r="CE138" i="1"/>
  <c r="CE9" i="1"/>
  <c r="CE90" i="1"/>
  <c r="CE72" i="1"/>
  <c r="CE27" i="1"/>
  <c r="CE78" i="1"/>
  <c r="CE24" i="1"/>
  <c r="CE96" i="1"/>
  <c r="CE51" i="1"/>
  <c r="CE15" i="1"/>
  <c r="CE81" i="1"/>
  <c r="CE6" i="1"/>
  <c r="CE45" i="1"/>
  <c r="CE75" i="1"/>
  <c r="CE36" i="1"/>
  <c r="CE60" i="1"/>
  <c r="EL12" i="1"/>
  <c r="EJ82" i="1"/>
  <c r="DY12" i="1"/>
  <c r="DW82" i="1"/>
  <c r="DA54" i="1"/>
  <c r="DC81" i="1"/>
  <c r="EY12" i="1"/>
  <c r="EW82" i="1"/>
  <c r="EY30" i="1"/>
  <c r="EW109" i="1"/>
  <c r="BT18" i="1"/>
  <c r="BT19" i="1"/>
  <c r="BT124" i="1" l="1"/>
  <c r="BT125" i="1" s="1"/>
  <c r="BT129" i="1"/>
  <c r="G31" i="1" s="1"/>
  <c r="BT21" i="1"/>
  <c r="BT23" i="1" s="1"/>
  <c r="BT29" i="1" s="1"/>
  <c r="C31" i="1" s="1"/>
  <c r="DG15" i="1"/>
  <c r="CK12" i="1"/>
  <c r="DE15" i="1"/>
  <c r="CG12" i="1"/>
  <c r="CR51" i="1"/>
  <c r="CX57" i="1"/>
  <c r="CL42" i="1"/>
  <c r="DD60" i="1"/>
  <c r="CJ15" i="1"/>
  <c r="CP24" i="1"/>
  <c r="CK30" i="1"/>
  <c r="DG33" i="1"/>
  <c r="CI12" i="1"/>
  <c r="DF15" i="1"/>
  <c r="CR24" i="1"/>
  <c r="CL15" i="1"/>
  <c r="CL69" i="1"/>
  <c r="DD105" i="1"/>
  <c r="CH15" i="1"/>
  <c r="CR78" i="1"/>
  <c r="CJ42" i="1"/>
  <c r="DB60" i="1"/>
  <c r="CX96" i="1"/>
  <c r="CV57" i="1"/>
  <c r="CP51" i="1"/>
  <c r="CN24" i="1"/>
  <c r="BT24" i="1" l="1"/>
  <c r="BT25" i="1" s="1"/>
  <c r="BT26" i="1" s="1"/>
  <c r="G33" i="1"/>
  <c r="G32" i="1"/>
  <c r="BT127" i="1"/>
  <c r="BT128" i="1" s="1"/>
  <c r="BT126" i="1"/>
  <c r="CT15" i="1"/>
  <c r="CZ15" i="1"/>
  <c r="DN15" i="1"/>
  <c r="DF33" i="1"/>
  <c r="DG51" i="1"/>
  <c r="DH24" i="1"/>
  <c r="DK15" i="1"/>
  <c r="DO15" i="1"/>
  <c r="DI24" i="1"/>
  <c r="DL15" i="1"/>
  <c r="DC12" i="1"/>
  <c r="CQ21" i="1"/>
  <c r="CW12" i="1"/>
  <c r="CO21" i="1"/>
  <c r="CU12" i="1"/>
  <c r="DA12" i="1"/>
  <c r="CE12" i="1"/>
  <c r="DB15" i="1"/>
  <c r="CV15" i="1"/>
  <c r="DM15" i="1"/>
  <c r="DP15" i="1"/>
  <c r="DJ24" i="1"/>
  <c r="DD15" i="1"/>
  <c r="CX15" i="1"/>
  <c r="DJ42" i="1"/>
  <c r="DP42" i="1"/>
  <c r="DM48" i="1"/>
  <c r="CK48" i="1"/>
  <c r="CM21" i="1"/>
  <c r="CY12" i="1"/>
  <c r="CS12" i="1"/>
  <c r="CI30" i="1"/>
  <c r="H31" i="1"/>
  <c r="C33" i="1"/>
  <c r="D31" i="1"/>
  <c r="C32" i="1"/>
  <c r="CW45" i="1"/>
  <c r="CQ39" i="1"/>
  <c r="DC39" i="1"/>
  <c r="BT27" i="1"/>
  <c r="BT28" i="1" s="1"/>
  <c r="DM78" i="1" l="1"/>
  <c r="DJ60" i="1"/>
  <c r="D32" i="1"/>
  <c r="H32" i="1"/>
  <c r="CO39" i="1"/>
  <c r="CU45" i="1"/>
  <c r="CE30" i="1"/>
  <c r="CW75" i="1"/>
  <c r="CQ57" i="1"/>
  <c r="DI42" i="1"/>
  <c r="DL48" i="1"/>
  <c r="DO42" i="1"/>
  <c r="DP69" i="1"/>
  <c r="D33" i="1"/>
  <c r="H33" i="1"/>
  <c r="DA39" i="1"/>
  <c r="DC66" i="1"/>
</calcChain>
</file>

<file path=xl/sharedStrings.xml><?xml version="1.0" encoding="utf-8"?>
<sst xmlns="http://schemas.openxmlformats.org/spreadsheetml/2006/main" count="2891" uniqueCount="2414">
  <si>
    <t>ページの一番下で、言語を選択下さい。次に、最初の４つのボックスに入力すると、推奨のカッタが提示されます。その中から一つ、カッタをお選びいただきますと、そのカッタについて推奨切削条件、ねじ切り製作所要時間などの情報をご覧いただけます。ＣＮＣプログラムもすべてご覧いただけます。ＣＮＣプログラムをコピーして、お客様のＣＮＣファイルに貼り付けていただくこともできます。残りの６つのボックスは、スミカット社が推奨する条件以外に設定する場合にご利用下さい。</t>
    <rPh sb="4" eb="6">
      <t/>
    </rPh>
    <rPh sb="6" eb="7">
      <t/>
    </rPh>
    <rPh sb="9" eb="11">
      <t/>
    </rPh>
    <rPh sb="12" eb="14">
      <t/>
    </rPh>
    <rPh sb="14" eb="15">
      <t/>
    </rPh>
    <rPh sb="18" eb="19">
      <t/>
    </rPh>
    <rPh sb="21" eb="23">
      <t/>
    </rPh>
    <rPh sb="32" eb="34">
      <t/>
    </rPh>
    <rPh sb="38" eb="40">
      <t/>
    </rPh>
    <rPh sb="45" eb="47">
      <t/>
    </rPh>
    <rPh sb="54" eb="55">
      <t/>
    </rPh>
    <rPh sb="57" eb="58">
      <t/>
    </rPh>
    <rPh sb="65" eb="66">
      <t/>
    </rPh>
    <rPh sb="84" eb="86">
      <t/>
    </rPh>
    <rPh sb="86" eb="88">
      <t/>
    </rPh>
    <rPh sb="88" eb="90">
      <t/>
    </rPh>
    <rPh sb="93" eb="94">
      <t/>
    </rPh>
    <rPh sb="95" eb="97">
      <t/>
    </rPh>
    <rPh sb="97" eb="99">
      <t/>
    </rPh>
    <rPh sb="99" eb="101">
      <t/>
    </rPh>
    <rPh sb="104" eb="106">
      <t/>
    </rPh>
    <rPh sb="108" eb="109">
      <t/>
    </rPh>
    <phoneticPr fontId="4"/>
  </si>
  <si>
    <r>
      <t>首先在畫面右下方可選擇您所需要的語言，左上方四個方塊中選擇機器設備、工件材質及銑牙的基本資料，一旦選定程式提供所選擇的合適刀具後，所有的切削條件包括轉速、銑牙完成時間及全套完整的</t>
    </r>
    <r>
      <rPr>
        <sz val="9"/>
        <rFont val="Verdana"/>
        <family val="2"/>
      </rPr>
      <t>CNC</t>
    </r>
    <r>
      <rPr>
        <sz val="9"/>
        <rFont val="細明體"/>
        <family val="3"/>
        <charset val="136"/>
      </rPr>
      <t>程式均會同時顯示；其他六個方塊的建議值您也可以修改以符合您的需求。</t>
    </r>
    <phoneticPr fontId="4"/>
  </si>
  <si>
    <t>Ruostumaton, austeettinen</t>
  </si>
  <si>
    <t>Ruostumaton, ferriittinen</t>
  </si>
  <si>
    <t>Teräs, karkaistu, &lt; 45 HRC</t>
  </si>
  <si>
    <t>Teräs, karkaistu, &lt; 55 HRC</t>
  </si>
  <si>
    <t>Teräs, karkaistu, &lt; 65 HRC</t>
  </si>
  <si>
    <t>Valurauta harmaa, &lt; 500 N/mm2</t>
  </si>
  <si>
    <t>Valurauta harmaa, &lt; 1000 N/mm2</t>
  </si>
  <si>
    <t>Valurauta adusoitu, &lt; 700 N/mm2</t>
  </si>
  <si>
    <t>Valurauta adusoitu, &lt; 1000 N/mm2</t>
  </si>
  <si>
    <t>l = Leikkuusärmänpituus (mm)</t>
  </si>
  <si>
    <t>z = Leikkuiden määrä</t>
  </si>
  <si>
    <t>V = Lastuamisnopeus (m/min)</t>
  </si>
  <si>
    <t>Fz = Hammassyöttö (mm/z)</t>
  </si>
  <si>
    <t>Lastujen määrä, radiaali (max 3)</t>
  </si>
  <si>
    <t>N = karan kierrokset (varv/min)</t>
  </si>
  <si>
    <t>FD = syöttö kierteen halkaisiassa (mm/min)</t>
  </si>
  <si>
    <t>Fd = syöttö jyrsimen keskiössä (mm/min)</t>
  </si>
  <si>
    <t>T = työstöaika  sekunneissa</t>
  </si>
  <si>
    <r>
      <t>Вышеприведенные характеристики резки являются только рекомендуемыми начальными значениями. Влияние имеют многие факторы, требующие внести поправки, например стабильность машины, инструментальная оснастка и пр.</t>
    </r>
    <r>
      <rPr>
        <sz val="9"/>
        <color indexed="8"/>
        <rFont val="Arial"/>
        <family val="2"/>
      </rPr>
      <t xml:space="preserve"> </t>
    </r>
    <r>
      <rPr>
        <sz val="9"/>
        <rFont val="Arial"/>
        <family val="2"/>
      </rPr>
      <t>SmiCut не несет никакой ответственности за ущерб, причиненный в связи с использованием программы ЧПУ или данных по резьбе, рекомендуемых программным обеспечением.</t>
    </r>
  </si>
  <si>
    <t>1012, 1 pass, microfräsar, Heidenhain</t>
  </si>
  <si>
    <t xml:space="preserve"> FN 0: Q2 =+0</t>
  </si>
  <si>
    <t>1022, 2 pass, microfräsar, Heidenhain</t>
  </si>
  <si>
    <t xml:space="preserve"> LBL 102</t>
  </si>
  <si>
    <t xml:space="preserve"> FN 12: IF +Q2 LT +Q1 GOTO LBL 102</t>
  </si>
  <si>
    <t xml:space="preserve"> LBL 103</t>
  </si>
  <si>
    <t>1032, 3 pass, microfräsar, Heidenhain</t>
  </si>
  <si>
    <t xml:space="preserve"> FN 12: IF +Q2 LT +Q1 GOTO LBL 103</t>
  </si>
  <si>
    <t xml:space="preserve">샹크에서 가장 가까운 곳의 마지막 나사는 공구 직경 보다 큼니다.                        그러므로 밀링 커터로 작업 할 때, 이 부분의 공구 직경을 입력해야 합니다. </t>
    <phoneticPr fontId="4"/>
  </si>
  <si>
    <t>回主畫面</t>
    <phoneticPr fontId="4"/>
  </si>
  <si>
    <r>
      <t>纯钛</t>
    </r>
    <r>
      <rPr>
        <sz val="10"/>
        <rFont val="Arial"/>
        <family val="2"/>
      </rPr>
      <t>, &lt; 700 N/mm2</t>
    </r>
    <phoneticPr fontId="4"/>
  </si>
  <si>
    <r>
      <t>钛合金</t>
    </r>
    <r>
      <rPr>
        <sz val="10"/>
        <rFont val="Arial"/>
        <family val="2"/>
      </rPr>
      <t>, &lt; 900 N/mm2</t>
    </r>
    <phoneticPr fontId="4"/>
  </si>
  <si>
    <r>
      <t>钛合金</t>
    </r>
    <r>
      <rPr>
        <sz val="10"/>
        <rFont val="Arial"/>
        <family val="2"/>
      </rPr>
      <t>, &lt; 1250 N/mm2</t>
    </r>
    <phoneticPr fontId="4"/>
  </si>
  <si>
    <r>
      <t>纯镍</t>
    </r>
    <r>
      <rPr>
        <sz val="10"/>
        <rFont val="Arial"/>
        <family val="2"/>
      </rPr>
      <t>, &lt; 500 N/mm2</t>
    </r>
    <phoneticPr fontId="4"/>
  </si>
  <si>
    <r>
      <t>镍合金</t>
    </r>
    <r>
      <rPr>
        <sz val="10"/>
        <rFont val="Arial"/>
        <family val="2"/>
      </rPr>
      <t>, &lt; 900 N/mm2</t>
    </r>
    <phoneticPr fontId="4"/>
  </si>
  <si>
    <r>
      <t>镍合金</t>
    </r>
    <r>
      <rPr>
        <sz val="10"/>
        <rFont val="Arial"/>
        <family val="2"/>
      </rPr>
      <t>, &lt; 1250 N/mm2</t>
    </r>
    <phoneticPr fontId="4"/>
  </si>
  <si>
    <r>
      <t>从右边最下端选择一种语言。在菜单中前面四个空格中填入足够的信息后，软件会显示一系列推荐的螺纹铣刀。选定其中一把后，软件将列出推荐的切削参数和加工该螺纹所需的时间。完整的</t>
    </r>
    <r>
      <rPr>
        <sz val="9"/>
        <rFont val="Arial"/>
        <family val="2"/>
      </rPr>
      <t>CNC</t>
    </r>
    <r>
      <rPr>
        <sz val="9"/>
        <rFont val="宋体"/>
        <charset val="134"/>
      </rPr>
      <t>加工程序也会显示出来。</t>
    </r>
    <r>
      <rPr>
        <sz val="9"/>
        <rFont val="Arial"/>
        <family val="2"/>
      </rPr>
      <t>CNC</t>
    </r>
    <r>
      <rPr>
        <sz val="9"/>
        <rFont val="宋体"/>
        <charset val="134"/>
      </rPr>
      <t>加工程序可以被复制并粘贴到你的</t>
    </r>
    <r>
      <rPr>
        <sz val="9"/>
        <rFont val="Arial"/>
        <family val="2"/>
      </rPr>
      <t>CNC</t>
    </r>
    <r>
      <rPr>
        <sz val="9"/>
        <rFont val="宋体"/>
        <charset val="134"/>
      </rPr>
      <t>程序文件中。如果不愿接受推荐值，则须填写另外的</t>
    </r>
    <r>
      <rPr>
        <sz val="9"/>
        <rFont val="Arial"/>
        <family val="2"/>
      </rPr>
      <t>6</t>
    </r>
    <r>
      <rPr>
        <sz val="9"/>
        <rFont val="宋体"/>
        <charset val="134"/>
      </rPr>
      <t>个空格。</t>
    </r>
    <phoneticPr fontId="4"/>
  </si>
  <si>
    <t>Titaani, seostettu, &lt; 1250 N/mm2</t>
  </si>
  <si>
    <t>Nikkeli, ei seostettu, &lt; 500 N/mm2</t>
  </si>
  <si>
    <t>Nikkeli, seostettu, &lt; 900 N/mm2</t>
  </si>
  <si>
    <t>Nikkeli, seostettu, &lt; 1250 N/mm2</t>
  </si>
  <si>
    <t>Kupari, ei seostettu, &lt; 350 N/mm2</t>
  </si>
  <si>
    <t>Kupari, messinki, pronssi, &lt; 700 N/mm2</t>
  </si>
  <si>
    <t>Kupari, pronssi korkea murtolujuus, &lt; 1500 N/mm2</t>
  </si>
  <si>
    <t>Alumiini, seostettu, &lt; 0.5% Si</t>
  </si>
  <si>
    <t>Alumiini, seostettu, &lt; 10% Si</t>
  </si>
  <si>
    <t>Alumiini, seostettu, &gt; 10% Si</t>
  </si>
  <si>
    <t>P = Nousu (mm)</t>
  </si>
  <si>
    <t>このプログラムでは、ツールの補正を極力おさえる方式を考えています。この方法は短い動きでＲ補正をしようする際に起こる問題を解決します。したがって、コントロールシステムの中のツールで”０”に近いものをご選定下さい。</t>
    <rPh sb="14" eb="16">
      <t/>
    </rPh>
    <rPh sb="17" eb="19">
      <t/>
    </rPh>
    <rPh sb="23" eb="25">
      <t/>
    </rPh>
    <rPh sb="26" eb="27">
      <t/>
    </rPh>
    <rPh sb="35" eb="37">
      <t/>
    </rPh>
    <rPh sb="38" eb="39">
      <t/>
    </rPh>
    <rPh sb="40" eb="41">
      <t/>
    </rPh>
    <rPh sb="44" eb="46">
      <t/>
    </rPh>
    <rPh sb="52" eb="53">
      <t/>
    </rPh>
    <rPh sb="54" eb="55">
      <t/>
    </rPh>
    <rPh sb="57" eb="59">
      <t/>
    </rPh>
    <rPh sb="60" eb="62">
      <t/>
    </rPh>
    <rPh sb="83" eb="84">
      <t/>
    </rPh>
    <rPh sb="93" eb="94">
      <t/>
    </rPh>
    <rPh sb="99" eb="101">
      <t/>
    </rPh>
    <rPh sb="101" eb="102">
      <t/>
    </rPh>
    <phoneticPr fontId="4"/>
  </si>
  <si>
    <t>您可使用本程式調整其刃徑尺寸以接近零的數據去微幅修整牙孔。</t>
    <phoneticPr fontId="4"/>
  </si>
  <si>
    <t>Inwendig draadsnijden met aangedreven gereedschap</t>
  </si>
  <si>
    <t>もし刃長が要求のものより短い場合に、プログラムは自動的に数パスでねじを切ります。</t>
    <rPh sb="2" eb="3">
      <t/>
    </rPh>
    <rPh sb="3" eb="4">
      <t/>
    </rPh>
    <rPh sb="5" eb="7">
      <t/>
    </rPh>
    <rPh sb="12" eb="13">
      <t/>
    </rPh>
    <rPh sb="14" eb="16">
      <t/>
    </rPh>
    <rPh sb="24" eb="27">
      <t/>
    </rPh>
    <rPh sb="28" eb="29">
      <t/>
    </rPh>
    <rPh sb="35" eb="36">
      <t/>
    </rPh>
    <phoneticPr fontId="4"/>
  </si>
  <si>
    <t>Jyrsimen halkaisia joka annetaan on lähinnä vartta. Siksi täytyy kierteen halkaisia joka annetaan olla se osa työkalusta joka on kosketuksessa työkaluun.</t>
  </si>
  <si>
    <t>如果銑牙刀刃尺寸小於需要的刃徑，程式會自動顯示分次完成的次數。</t>
    <phoneticPr fontId="4"/>
  </si>
  <si>
    <r>
      <t>本程式所提供的數值均為建議值，適當的切削條件仍視機器狀況、夾具品質、冷卻油使用</t>
    </r>
    <r>
      <rPr>
        <sz val="9"/>
        <rFont val="Verdana"/>
        <family val="2"/>
      </rPr>
      <t>…</t>
    </r>
    <r>
      <rPr>
        <sz val="9"/>
        <rFont val="細明體"/>
        <family val="3"/>
        <charset val="136"/>
      </rPr>
      <t>等等而改變。因此若因本</t>
    </r>
    <r>
      <rPr>
        <sz val="9"/>
        <rFont val="Verdana"/>
        <family val="2"/>
      </rPr>
      <t>CNC</t>
    </r>
    <r>
      <rPr>
        <sz val="9"/>
        <rFont val="細明體"/>
        <family val="3"/>
        <charset val="136"/>
      </rPr>
      <t>程式造成的任何損失</t>
    </r>
    <r>
      <rPr>
        <sz val="9"/>
        <rFont val="Verdana"/>
        <family val="2"/>
      </rPr>
      <t>SmiCut</t>
    </r>
    <r>
      <rPr>
        <sz val="9"/>
        <rFont val="細明體"/>
        <family val="3"/>
        <charset val="136"/>
      </rPr>
      <t>恕無法負責。</t>
    </r>
    <phoneticPr fontId="18" type="noConversion"/>
  </si>
  <si>
    <t>锥度螺纹铣刀，需要填入刀具上距离柄部最近的那个完整螺纹牙型所在位置处的螺纹直径。</t>
    <phoneticPr fontId="4"/>
  </si>
  <si>
    <t>錐度銑牙刀是以大徑為尺寸去標註的，因此重新登錄實際需要的尺寸是有必要的。</t>
    <phoneticPr fontId="4"/>
  </si>
  <si>
    <t>返回</t>
    <phoneticPr fontId="4"/>
  </si>
  <si>
    <t>돌아감</t>
    <phoneticPr fontId="4"/>
  </si>
  <si>
    <t>(THAI)</t>
  </si>
  <si>
    <r>
      <t>不锈钢</t>
    </r>
    <r>
      <rPr>
        <sz val="10"/>
        <rFont val="Arial"/>
        <family val="2"/>
      </rPr>
      <t xml:space="preserve">, </t>
    </r>
    <r>
      <rPr>
        <sz val="10"/>
        <rFont val="宋体"/>
        <charset val="134"/>
      </rPr>
      <t>铁素体和奥氏体</t>
    </r>
    <phoneticPr fontId="4"/>
  </si>
  <si>
    <r>
      <t>这里的切削参数应视为推荐使用的初始设置值。这些参数会受很多因素的影响，例如，机床的稳定性、工具系统的因素等等，因此有必要做调整。</t>
    </r>
    <r>
      <rPr>
        <sz val="9"/>
        <rFont val="Arial"/>
        <family val="2"/>
      </rPr>
      <t>SmiCut</t>
    </r>
    <r>
      <rPr>
        <sz val="9"/>
        <rFont val="宋体"/>
        <charset val="134"/>
      </rPr>
      <t>声明</t>
    </r>
    <r>
      <rPr>
        <sz val="9"/>
        <rFont val="Arial"/>
        <family val="2"/>
      </rPr>
      <t xml:space="preserve">, </t>
    </r>
    <r>
      <rPr>
        <sz val="9"/>
        <rFont val="宋体"/>
        <charset val="134"/>
      </rPr>
      <t>对使用这里的</t>
    </r>
    <r>
      <rPr>
        <sz val="9"/>
        <rFont val="Arial"/>
        <family val="2"/>
      </rPr>
      <t>CNC</t>
    </r>
    <r>
      <rPr>
        <sz val="9"/>
        <rFont val="宋体"/>
        <charset val="134"/>
      </rPr>
      <t>程序或使用所推荐的切削参数而可能产生的不良后果不承担任何责任。</t>
    </r>
    <r>
      <rPr>
        <sz val="9"/>
        <rFont val="Arial"/>
        <family val="2"/>
      </rPr>
      <t xml:space="preserve"> </t>
    </r>
    <phoneticPr fontId="4"/>
  </si>
  <si>
    <t>언급된 절삭조건은 오로지 추천되는 시작값입니다. 영향을 미칠 수 있는 많은 사항들이 있으므로 조정할 필요가 있습니다. 예를 들어, 기계의 안정성, 툴링 장치 등   입니다. SmiCut 은 소프트웨어에 의해 추천된 CNC 프로그램을 사용하거나 또는   절삭조건를 사용할 때 발생할 수 있는 손상에 대해서는, 어떠한 책임도 지지 않습니다.</t>
    <phoneticPr fontId="4"/>
  </si>
  <si>
    <r>
      <t>纯铜</t>
    </r>
    <r>
      <rPr>
        <sz val="10"/>
        <rFont val="Arial"/>
        <family val="2"/>
      </rPr>
      <t>, &lt; 350 N/mm2</t>
    </r>
    <phoneticPr fontId="4"/>
  </si>
  <si>
    <r>
      <t>铜</t>
    </r>
    <r>
      <rPr>
        <sz val="10"/>
        <rFont val="Arial"/>
        <family val="2"/>
      </rPr>
      <t xml:space="preserve">, </t>
    </r>
    <r>
      <rPr>
        <sz val="10"/>
        <rFont val="宋体"/>
        <charset val="134"/>
      </rPr>
      <t>黄铜</t>
    </r>
    <r>
      <rPr>
        <sz val="10"/>
        <rFont val="Arial"/>
        <family val="2"/>
      </rPr>
      <t xml:space="preserve">, </t>
    </r>
    <r>
      <rPr>
        <sz val="10"/>
        <rFont val="宋体"/>
        <charset val="134"/>
      </rPr>
      <t>青铜</t>
    </r>
    <r>
      <rPr>
        <sz val="10"/>
        <rFont val="Arial"/>
        <family val="2"/>
      </rPr>
      <t>, &lt; 700 N/mm2</t>
    </r>
    <phoneticPr fontId="4"/>
  </si>
  <si>
    <r>
      <t>铜</t>
    </r>
    <r>
      <rPr>
        <sz val="10"/>
        <rFont val="Arial"/>
        <family val="2"/>
      </rPr>
      <t xml:space="preserve">, </t>
    </r>
    <r>
      <rPr>
        <sz val="10"/>
        <rFont val="宋体"/>
        <charset val="134"/>
      </rPr>
      <t>高强度青铜</t>
    </r>
    <r>
      <rPr>
        <sz val="10"/>
        <rFont val="Arial"/>
        <family val="2"/>
      </rPr>
      <t>, &lt; 1500 N/mm2</t>
    </r>
    <phoneticPr fontId="4"/>
  </si>
  <si>
    <t>纯铝</t>
    <phoneticPr fontId="4"/>
  </si>
  <si>
    <r>
      <t>铝合金</t>
    </r>
    <r>
      <rPr>
        <sz val="10"/>
        <rFont val="Arial"/>
        <family val="2"/>
      </rPr>
      <t>,  &lt; 0.5% Si</t>
    </r>
    <phoneticPr fontId="4"/>
  </si>
  <si>
    <r>
      <t>铝合金</t>
    </r>
    <r>
      <rPr>
        <sz val="10"/>
        <rFont val="Arial"/>
        <family val="2"/>
      </rPr>
      <t>, &lt; 10% Si</t>
    </r>
    <phoneticPr fontId="4"/>
  </si>
  <si>
    <r>
      <t>铝合金</t>
    </r>
    <r>
      <rPr>
        <sz val="10"/>
        <rFont val="Arial"/>
        <family val="2"/>
      </rPr>
      <t>, &gt; 10% Si</t>
    </r>
    <phoneticPr fontId="4"/>
  </si>
  <si>
    <r>
      <t>镍基合金</t>
    </r>
    <r>
      <rPr>
        <sz val="10"/>
        <color indexed="8"/>
        <rFont val="Arial"/>
        <family val="2"/>
      </rPr>
      <t xml:space="preserve"> Inconel 718</t>
    </r>
    <phoneticPr fontId="4"/>
  </si>
  <si>
    <t>石墨</t>
    <phoneticPr fontId="4"/>
  </si>
  <si>
    <r>
      <t>CNC</t>
    </r>
    <r>
      <rPr>
        <sz val="10"/>
        <rFont val="宋体"/>
        <charset val="134"/>
      </rPr>
      <t>程序</t>
    </r>
    <r>
      <rPr>
        <sz val="10"/>
        <rFont val="Arial"/>
        <family val="2"/>
      </rPr>
      <t xml:space="preserve">, </t>
    </r>
    <r>
      <rPr>
        <sz val="10"/>
        <rFont val="宋体"/>
        <charset val="134"/>
      </rPr>
      <t>用于海德汉数控系统</t>
    </r>
    <phoneticPr fontId="4"/>
  </si>
  <si>
    <r>
      <t>CNC</t>
    </r>
    <r>
      <rPr>
        <sz val="10"/>
        <rFont val="宋体"/>
        <charset val="134"/>
      </rPr>
      <t>程序</t>
    </r>
    <r>
      <rPr>
        <sz val="10"/>
        <rFont val="Arial"/>
        <family val="2"/>
      </rPr>
      <t xml:space="preserve">, </t>
    </r>
    <r>
      <rPr>
        <sz val="10"/>
        <rFont val="宋体"/>
        <charset val="134"/>
      </rPr>
      <t>用于西门子数控系统</t>
    </r>
    <phoneticPr fontId="4"/>
  </si>
  <si>
    <r>
      <t>CNC</t>
    </r>
    <r>
      <rPr>
        <sz val="10"/>
        <rFont val="宋体"/>
        <charset val="134"/>
      </rPr>
      <t>程序</t>
    </r>
    <r>
      <rPr>
        <sz val="10"/>
        <rFont val="Arial"/>
        <family val="2"/>
      </rPr>
      <t xml:space="preserve">,  </t>
    </r>
    <r>
      <rPr>
        <sz val="10"/>
        <rFont val="宋体"/>
        <charset val="134"/>
      </rPr>
      <t>用于</t>
    </r>
    <r>
      <rPr>
        <sz val="10"/>
        <rFont val="Arial"/>
        <family val="2"/>
      </rPr>
      <t>NUM</t>
    </r>
    <r>
      <rPr>
        <sz val="10"/>
        <rFont val="宋体"/>
        <charset val="134"/>
      </rPr>
      <t>数控系统</t>
    </r>
    <phoneticPr fontId="4"/>
  </si>
  <si>
    <r>
      <t>CNC</t>
    </r>
    <r>
      <rPr>
        <sz val="10"/>
        <rFont val="宋体"/>
        <charset val="134"/>
      </rPr>
      <t>程序</t>
    </r>
    <r>
      <rPr>
        <sz val="10"/>
        <rFont val="Arial"/>
        <family val="2"/>
      </rPr>
      <t xml:space="preserve">, </t>
    </r>
    <r>
      <rPr>
        <sz val="10"/>
        <rFont val="宋体"/>
        <charset val="134"/>
      </rPr>
      <t>用于发格数控系统</t>
    </r>
    <phoneticPr fontId="4"/>
  </si>
  <si>
    <r>
      <t>CNC</t>
    </r>
    <r>
      <rPr>
        <sz val="10"/>
        <rFont val="宋体"/>
        <charset val="134"/>
      </rPr>
      <t>程序</t>
    </r>
    <r>
      <rPr>
        <sz val="10"/>
        <rFont val="Arial"/>
        <family val="2"/>
      </rPr>
      <t xml:space="preserve">, </t>
    </r>
    <r>
      <rPr>
        <sz val="10"/>
        <rFont val="宋体"/>
        <charset val="134"/>
      </rPr>
      <t>用于马扎克数控系统</t>
    </r>
    <phoneticPr fontId="4"/>
  </si>
  <si>
    <r>
      <t>CNC</t>
    </r>
    <r>
      <rPr>
        <sz val="10"/>
        <rFont val="宋体"/>
        <charset val="134"/>
      </rPr>
      <t>程序</t>
    </r>
    <r>
      <rPr>
        <sz val="10"/>
        <rFont val="Arial"/>
        <family val="2"/>
      </rPr>
      <t xml:space="preserve">, </t>
    </r>
    <r>
      <rPr>
        <sz val="10"/>
        <rFont val="宋体"/>
        <charset val="134"/>
      </rPr>
      <t>用于三菱数控系统</t>
    </r>
    <phoneticPr fontId="4"/>
  </si>
  <si>
    <t>螺纹铣削加工</t>
    <phoneticPr fontId="4"/>
  </si>
  <si>
    <t>Lastujen määrä, axiaali</t>
  </si>
  <si>
    <t>Teräs, matala hiili, &lt; 0,25% C, &lt; 400 N/mm2</t>
  </si>
  <si>
    <t>Teräs, normaali hiili, &lt; 0,55% C, &lt; 700 N/mm2</t>
  </si>
  <si>
    <t>Teräs, korkea hiili, &lt; 0,85% C, &lt; 850 N/mm2</t>
  </si>
  <si>
    <t>Teräs, matala seos, &lt; 850 N/mm2</t>
  </si>
  <si>
    <t>Teräs, korkea seos, &lt; 1200 N/mm2</t>
  </si>
  <si>
    <t>Titaani, ei seostettu, &lt; 700 N/mm2</t>
  </si>
  <si>
    <t>Titaani, seostettu, &lt; 900 N/mm2</t>
  </si>
  <si>
    <t>가는 허리의 쓰레드 밀</t>
    <phoneticPr fontId="4"/>
  </si>
  <si>
    <t>교환용 인서트를 사용하는 쓰레드 밀링 커터</t>
    <phoneticPr fontId="4"/>
  </si>
  <si>
    <t>테이퍼 나사</t>
    <phoneticPr fontId="4"/>
  </si>
  <si>
    <r>
      <t xml:space="preserve">D = </t>
    </r>
    <r>
      <rPr>
        <sz val="10"/>
        <rFont val="宋体"/>
        <charset val="134"/>
      </rPr>
      <t>螺纹直径</t>
    </r>
    <r>
      <rPr>
        <sz val="10"/>
        <rFont val="Arial"/>
        <family val="2"/>
      </rPr>
      <t xml:space="preserve"> (mm)</t>
    </r>
    <phoneticPr fontId="4"/>
  </si>
  <si>
    <r>
      <t xml:space="preserve">P = </t>
    </r>
    <r>
      <rPr>
        <sz val="10"/>
        <rFont val="宋体"/>
        <charset val="134"/>
      </rPr>
      <t>螺距</t>
    </r>
    <r>
      <rPr>
        <sz val="10"/>
        <rFont val="Arial"/>
        <family val="2"/>
      </rPr>
      <t xml:space="preserve"> (mm)</t>
    </r>
    <phoneticPr fontId="4"/>
  </si>
  <si>
    <r>
      <t xml:space="preserve">P = </t>
    </r>
    <r>
      <rPr>
        <sz val="10"/>
        <rFont val="宋体"/>
        <charset val="134"/>
      </rPr>
      <t>螺距</t>
    </r>
    <r>
      <rPr>
        <sz val="10"/>
        <rFont val="Arial"/>
        <family val="2"/>
      </rPr>
      <t xml:space="preserve"> (TPI - </t>
    </r>
    <r>
      <rPr>
        <sz val="10"/>
        <rFont val="宋体"/>
        <charset val="134"/>
      </rPr>
      <t>每英寸牙数</t>
    </r>
    <r>
      <rPr>
        <sz val="10"/>
        <rFont val="Arial"/>
        <family val="2"/>
      </rPr>
      <t>)</t>
    </r>
    <phoneticPr fontId="4"/>
  </si>
  <si>
    <r>
      <t xml:space="preserve">Fz = </t>
    </r>
    <r>
      <rPr>
        <sz val="10"/>
        <rFont val="宋体"/>
        <charset val="134"/>
      </rPr>
      <t>每齿进给速度</t>
    </r>
    <r>
      <rPr>
        <sz val="10"/>
        <rFont val="Arial"/>
        <family val="2"/>
      </rPr>
      <t xml:space="preserve"> (mm/</t>
    </r>
    <r>
      <rPr>
        <sz val="10"/>
        <rFont val="宋体"/>
        <charset val="134"/>
      </rPr>
      <t>刃</t>
    </r>
    <r>
      <rPr>
        <sz val="10"/>
        <rFont val="Arial"/>
        <family val="2"/>
      </rPr>
      <t>)</t>
    </r>
    <phoneticPr fontId="4"/>
  </si>
  <si>
    <r>
      <t>走刀次数</t>
    </r>
    <r>
      <rPr>
        <sz val="10"/>
        <rFont val="Arial"/>
        <family val="2"/>
      </rPr>
      <t xml:space="preserve">, </t>
    </r>
    <r>
      <rPr>
        <sz val="10"/>
        <rFont val="宋体"/>
        <charset val="134"/>
      </rPr>
      <t>径向</t>
    </r>
    <r>
      <rPr>
        <sz val="10"/>
        <rFont val="Arial"/>
        <family val="2"/>
      </rPr>
      <t xml:space="preserve"> (</t>
    </r>
    <r>
      <rPr>
        <sz val="10"/>
        <rFont val="宋体"/>
        <charset val="134"/>
      </rPr>
      <t>最多</t>
    </r>
    <r>
      <rPr>
        <sz val="10"/>
        <rFont val="Arial"/>
        <family val="2"/>
      </rPr>
      <t>3</t>
    </r>
    <r>
      <rPr>
        <sz val="10"/>
        <rFont val="宋体"/>
        <charset val="134"/>
      </rPr>
      <t>次</t>
    </r>
    <r>
      <rPr>
        <sz val="10"/>
        <rFont val="Arial"/>
        <family val="2"/>
      </rPr>
      <t xml:space="preserve"> )</t>
    </r>
    <phoneticPr fontId="4"/>
  </si>
  <si>
    <t>走刀次数, 轴向</t>
    <phoneticPr fontId="4"/>
  </si>
  <si>
    <t>D = Kierteen halkaisia (mm)</t>
  </si>
  <si>
    <t>P = nousu (TPI)</t>
  </si>
  <si>
    <t>L = Kierteen pituus (mm)</t>
  </si>
  <si>
    <t>d = Jyrsimen halkaisia (mm)</t>
  </si>
  <si>
    <t>在本软件中，刀具补偿仅用于微量调整。补偿可以去除采用半径补偿做短距离加工而可能引起的误差问题。因此应该在控制系统的刀库文件中选择一个接近于零的刀具直径补偿值。</t>
    <phoneticPr fontId="4"/>
  </si>
  <si>
    <t xml:space="preserve">이 프로그램에서, 툴링의 보정은 아주 작은 조절을 위해서 만 사용됩니다.             이것는 작은 움직임인 반경의 보정이 발생되었을 때, 문제들을 제거할 것입니다.                     그러므로 컨트롤 시스템의 툴링 라이브러리에서 공구 직경은 제로에 가까운 값을  선택하십시오. </t>
    <phoneticPr fontId="4"/>
  </si>
  <si>
    <t xml:space="preserve">오른쪽에서 가장 알맞은 언어를 선택하고 내려받은 다음 첫번째 네개의 사각형     칸을 채우십시오. 충분한 정보로 부터 정리된 프로그램은, 추천될 만한 밀링 공구의 영역을 제공할 것입니다. 당신이 공구 하나를 선택할 경우, 추천 절삭조건과 나사를     가공하는 시간을 포함한 공구에 대한 정보를 보여줄 것입니다. 완성된 CNC           프로그램을 볼 수 있을 것입니다. CNC 프로그램은 복사되어 당신의 CNC 파일 안에         붙여넣을 수 있습니다. 나머지 여섯 개의 사각형 칸은 당신이 추천값을 승인하지   않을 경우에만 완성될 것입니다. </t>
    <phoneticPr fontId="4"/>
  </si>
  <si>
    <r>
      <t xml:space="preserve">NPSF - </t>
    </r>
    <r>
      <rPr>
        <sz val="10"/>
        <rFont val="宋体"/>
        <charset val="134"/>
      </rPr>
      <t>干封美制燃料管用内直螺纹</t>
    </r>
    <phoneticPr fontId="4"/>
  </si>
  <si>
    <r>
      <t xml:space="preserve">PG - DIN40430 </t>
    </r>
    <r>
      <rPr>
        <sz val="10"/>
        <rFont val="宋体"/>
        <charset val="134"/>
      </rPr>
      <t>钢管螺纹</t>
    </r>
    <phoneticPr fontId="4"/>
  </si>
  <si>
    <r>
      <t>低碳钢</t>
    </r>
    <r>
      <rPr>
        <sz val="10"/>
        <rFont val="Arial"/>
        <family val="2"/>
      </rPr>
      <t>, &lt; 0,25% C, &lt; 400 N/mm2</t>
    </r>
    <phoneticPr fontId="4"/>
  </si>
  <si>
    <r>
      <t>低合金钢</t>
    </r>
    <r>
      <rPr>
        <sz val="10"/>
        <rFont val="Arial"/>
        <family val="2"/>
      </rPr>
      <t>, &lt; 850 N/mm2</t>
    </r>
    <phoneticPr fontId="4"/>
  </si>
  <si>
    <r>
      <t>高合金钢</t>
    </r>
    <r>
      <rPr>
        <sz val="10"/>
        <rFont val="Arial"/>
        <family val="2"/>
      </rPr>
      <t>, &lt; 1200 N/mm2</t>
    </r>
    <phoneticPr fontId="4"/>
  </si>
  <si>
    <r>
      <t>淬火钢</t>
    </r>
    <r>
      <rPr>
        <sz val="10"/>
        <rFont val="Arial"/>
        <family val="2"/>
      </rPr>
      <t>, &lt; 45 HRC</t>
    </r>
    <phoneticPr fontId="4"/>
  </si>
  <si>
    <r>
      <t>淬火钢</t>
    </r>
    <r>
      <rPr>
        <sz val="10"/>
        <rFont val="Arial"/>
        <family val="2"/>
      </rPr>
      <t>, &lt; 55 HRC</t>
    </r>
    <phoneticPr fontId="4"/>
  </si>
  <si>
    <r>
      <t>淬火钢</t>
    </r>
    <r>
      <rPr>
        <sz val="10"/>
        <rFont val="Arial"/>
        <family val="2"/>
      </rPr>
      <t>, &lt; 65 HRC</t>
    </r>
    <phoneticPr fontId="4"/>
  </si>
  <si>
    <r>
      <t>铸铁中片状石墨</t>
    </r>
    <r>
      <rPr>
        <sz val="10"/>
        <rFont val="Arial"/>
        <family val="2"/>
      </rPr>
      <t>,  &lt; 500 N/mm2</t>
    </r>
    <phoneticPr fontId="4"/>
  </si>
  <si>
    <r>
      <t>铸铁中片状石墨</t>
    </r>
    <r>
      <rPr>
        <sz val="10"/>
        <rFont val="Arial"/>
        <family val="2"/>
      </rPr>
      <t>, &lt; 1000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</si>
  <si>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700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</si>
  <si>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1000 N/mm2</t>
    </r>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</si>
  <si>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이상</t>
    </r>
    <phoneticPr fontId="4"/>
  </si>
  <si>
    <r>
      <t>인코넬</t>
    </r>
    <r>
      <rPr>
        <sz val="9"/>
        <rFont val="Verdana"/>
        <family val="2"/>
      </rPr>
      <t xml:space="preserve"> 718, </t>
    </r>
    <r>
      <rPr>
        <sz val="9"/>
        <rFont val="돋움"/>
        <family val="3"/>
      </rPr>
      <t>초합금</t>
    </r>
    <phoneticPr fontId="4"/>
  </si>
  <si>
    <t>흑연</t>
    <phoneticPr fontId="4"/>
  </si>
  <si>
    <r>
      <t xml:space="preserve">D = </t>
    </r>
    <r>
      <rPr>
        <sz val="9"/>
        <rFont val="돋움"/>
        <family val="3"/>
      </rPr>
      <t>나사</t>
    </r>
    <r>
      <rPr>
        <sz val="9"/>
        <rFont val="Verdana"/>
        <family val="2"/>
      </rPr>
      <t xml:space="preserve"> </t>
    </r>
    <r>
      <rPr>
        <sz val="9"/>
        <rFont val="돋움"/>
        <family val="3"/>
      </rPr>
      <t>직경</t>
    </r>
    <r>
      <rPr>
        <sz val="9"/>
        <rFont val="Verdana"/>
        <family val="2"/>
      </rPr>
      <t xml:space="preserve"> (mm)</t>
    </r>
    <phoneticPr fontId="4"/>
  </si>
  <si>
    <r>
      <t xml:space="preserve">L = </t>
    </r>
    <r>
      <rPr>
        <sz val="9"/>
        <rFont val="돋움"/>
        <family val="3"/>
      </rPr>
      <t>나사</t>
    </r>
    <r>
      <rPr>
        <sz val="9"/>
        <rFont val="Verdana"/>
        <family val="2"/>
      </rPr>
      <t xml:space="preserve"> </t>
    </r>
    <r>
      <rPr>
        <sz val="9"/>
        <rFont val="돋움"/>
        <family val="3"/>
      </rPr>
      <t>길이</t>
    </r>
    <r>
      <rPr>
        <sz val="9"/>
        <rFont val="Verdana"/>
        <family val="2"/>
      </rPr>
      <t xml:space="preserve"> (mm)</t>
    </r>
    <phoneticPr fontId="4"/>
  </si>
  <si>
    <t>ねじの径はすぐにご修正下さい</t>
    <rPh sb="3" eb="4">
      <t/>
    </rPh>
    <rPh sb="9" eb="11">
      <t/>
    </rPh>
    <rPh sb="11" eb="12">
      <t/>
    </rPh>
    <phoneticPr fontId="4"/>
  </si>
  <si>
    <t>リスト外ツールとスペシャルツール</t>
    <rPh sb="3" eb="4">
      <t/>
    </rPh>
    <phoneticPr fontId="4"/>
  </si>
  <si>
    <t>Valitse kieli täytä neljä ensimmäistä ruutua. Näin avautuu ohjelma ja ehdottaa sopivia työkaluja. Kun olet vallinnut työkalun tulee näyttöön työkalu, työstöarvot sekä työstöaika. loput ruudut täytetään vain jos et noudata sousiteltuja työstöarvoja.</t>
  </si>
  <si>
    <t>每刃有一个或两个牙（单牙或双牙）的螺纹铣刀</t>
    <phoneticPr fontId="4"/>
  </si>
  <si>
    <t>缩颈螺纹铣刀</t>
    <phoneticPr fontId="4"/>
  </si>
  <si>
    <t>可转位螺纹铣刀</t>
    <phoneticPr fontId="4"/>
  </si>
  <si>
    <t>툴링의 보정</t>
    <phoneticPr fontId="4"/>
  </si>
  <si>
    <t>빠른 나사 직경의 수정</t>
    <phoneticPr fontId="4"/>
  </si>
  <si>
    <t>목록에 없는 스페셜 툴링</t>
    <phoneticPr fontId="4"/>
  </si>
  <si>
    <t>절삭날당 하나 또는 두개의 이를 가진 쓰레드 밀</t>
    <phoneticPr fontId="4"/>
  </si>
  <si>
    <t>如果螺纹铣刀的刃长短于要加工的螺纹长度，软件会自动生成分步加工螺纹的数控程序。</t>
    <phoneticPr fontId="4"/>
  </si>
  <si>
    <t>만일 쓰레드 밀이 요구되는 길이보다 짧은 커팅 길이라면, 프로그램은 여러 번 반복해서 공구를 자동적으로 선정 할 것 입니다.</t>
    <phoneticPr fontId="4"/>
  </si>
  <si>
    <t>表の切削条件はあくまでも起点の設定条件です。機械の剛性、工具の周辺設備等、諸条件に応じて切削速度、送りを上下させてください。尚、スミカット社は品質と併せて安全な製品作りを進めています。ソフトウェアによるＣＮＣプログラム切削条件で加工を行った際の損傷には、スミカット社は一切責任を負いません。ご活用に際しては、上記の点を注意していただきご愛顧のほどお願いいたします。</t>
    <rPh sb="0" eb="1">
      <t/>
    </rPh>
    <rPh sb="2" eb="4">
      <t/>
    </rPh>
    <rPh sb="4" eb="6">
      <t/>
    </rPh>
    <rPh sb="12" eb="14">
      <t/>
    </rPh>
    <rPh sb="15" eb="17">
      <t/>
    </rPh>
    <rPh sb="17" eb="19">
      <t/>
    </rPh>
    <rPh sb="22" eb="24">
      <t/>
    </rPh>
    <rPh sb="25" eb="27">
      <t/>
    </rPh>
    <rPh sb="28" eb="30">
      <t/>
    </rPh>
    <rPh sb="31" eb="33">
      <t/>
    </rPh>
    <rPh sb="33" eb="35">
      <t/>
    </rPh>
    <rPh sb="35" eb="36">
      <t/>
    </rPh>
    <rPh sb="37" eb="40">
      <t/>
    </rPh>
    <rPh sb="41" eb="42">
      <t/>
    </rPh>
    <rPh sb="44" eb="46">
      <t/>
    </rPh>
    <rPh sb="46" eb="48">
      <t/>
    </rPh>
    <rPh sb="49" eb="50">
      <t/>
    </rPh>
    <rPh sb="52" eb="54">
      <t/>
    </rPh>
    <rPh sb="62" eb="63">
      <t/>
    </rPh>
    <rPh sb="69" eb="70">
      <t/>
    </rPh>
    <rPh sb="71" eb="73">
      <t/>
    </rPh>
    <rPh sb="74" eb="75">
      <t/>
    </rPh>
    <rPh sb="77" eb="79">
      <t/>
    </rPh>
    <rPh sb="80" eb="82">
      <t/>
    </rPh>
    <rPh sb="82" eb="83">
      <t/>
    </rPh>
    <rPh sb="85" eb="86">
      <t/>
    </rPh>
    <rPh sb="109" eb="111">
      <t/>
    </rPh>
    <rPh sb="111" eb="113">
      <t/>
    </rPh>
    <rPh sb="114" eb="116">
      <t/>
    </rPh>
    <rPh sb="117" eb="118">
      <t/>
    </rPh>
    <rPh sb="120" eb="121">
      <t/>
    </rPh>
    <rPh sb="122" eb="124">
      <t/>
    </rPh>
    <rPh sb="132" eb="133">
      <t/>
    </rPh>
    <rPh sb="134" eb="136">
      <t/>
    </rPh>
    <rPh sb="136" eb="138">
      <t/>
    </rPh>
    <rPh sb="139" eb="140">
      <t/>
    </rPh>
    <rPh sb="146" eb="148">
      <t/>
    </rPh>
    <rPh sb="149" eb="150">
      <t/>
    </rPh>
    <rPh sb="154" eb="156">
      <t/>
    </rPh>
    <rPh sb="157" eb="158">
      <t/>
    </rPh>
    <rPh sb="159" eb="161">
      <t/>
    </rPh>
    <rPh sb="168" eb="170">
      <t/>
    </rPh>
    <rPh sb="174" eb="175">
      <t/>
    </rPh>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</si>
  <si>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0.5% </t>
    </r>
    <r>
      <rPr>
        <sz val="9"/>
        <rFont val="돋움"/>
        <family val="3"/>
      </rPr>
      <t>이하</t>
    </r>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</si>
  <si>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이하</t>
    </r>
    <phoneticPr fontId="4"/>
  </si>
  <si>
    <t>M - Filettatura Metrica</t>
  </si>
  <si>
    <t>UN - Filettatura Americana</t>
  </si>
  <si>
    <t>BSPT - Filettatura Gas conica</t>
  </si>
  <si>
    <t>NPTF - Filettatura per tubi conica Americana (a tenuta stagna)</t>
  </si>
  <si>
    <t>NPSF - Filettatura per tubi conica Americana (non stagna)</t>
  </si>
  <si>
    <t>PG - Filettatura per tubi elettrici corazzati</t>
  </si>
  <si>
    <t>G - Whitworth, filettatura Gas per tubi</t>
  </si>
  <si>
    <t>NPT - Filettatura per tubi conica Americana</t>
  </si>
  <si>
    <r>
      <t xml:space="preserve">NPSF - </t>
    </r>
    <r>
      <rPr>
        <sz val="9"/>
        <rFont val="돋움"/>
        <family val="3"/>
      </rPr>
      <t>관용</t>
    </r>
    <r>
      <rPr>
        <sz val="9"/>
        <rFont val="Verdana"/>
        <family val="2"/>
      </rPr>
      <t xml:space="preserve"> </t>
    </r>
    <r>
      <rPr>
        <sz val="9"/>
        <rFont val="돋움"/>
        <family val="3"/>
      </rPr>
      <t>평행</t>
    </r>
    <r>
      <rPr>
        <sz val="9"/>
        <rFont val="Verdana"/>
        <family val="2"/>
      </rPr>
      <t xml:space="preserve"> </t>
    </r>
    <r>
      <rPr>
        <sz val="9"/>
        <rFont val="돋움"/>
        <family val="3"/>
      </rPr>
      <t>나사</t>
    </r>
    <phoneticPr fontId="4"/>
  </si>
  <si>
    <t>Datele de prelucrare mentionate sint doar valori recomandate la pornire. Multe aspecte pot influenta prelucrarea si trebuie facute modificari/ajustari, de exempu stabilitatea masinii, sculele, etc. SmiCut nu isi asuma responsabilitatea pentru defectiunile care apar atunci cind se utilizeaza programul CNC sau parametrii de prelucrare recomandati de software.</t>
  </si>
  <si>
    <t>锥形螺纹</t>
  </si>
  <si>
    <t>中文(简体) (kinesiska, förenklad)</t>
  </si>
  <si>
    <t>中文(简体)</t>
  </si>
  <si>
    <r>
      <t xml:space="preserve">PG - </t>
    </r>
    <r>
      <rPr>
        <sz val="9"/>
        <rFont val="돋움"/>
        <family val="3"/>
      </rPr>
      <t>전선관용</t>
    </r>
    <r>
      <rPr>
        <sz val="9"/>
        <rFont val="Verdana"/>
        <family val="2"/>
      </rPr>
      <t xml:space="preserve"> </t>
    </r>
    <r>
      <rPr>
        <sz val="9"/>
        <rFont val="돋움"/>
        <family val="3"/>
      </rPr>
      <t>나사</t>
    </r>
    <phoneticPr fontId="4"/>
  </si>
  <si>
    <r>
      <t>저탄소강</t>
    </r>
    <r>
      <rPr>
        <sz val="9"/>
        <rFont val="Verdana"/>
        <family val="2"/>
      </rPr>
      <t xml:space="preserve">, </t>
    </r>
    <r>
      <rPr>
        <sz val="9"/>
        <rFont val="돋움"/>
        <family val="3"/>
      </rPr>
      <t>탄소</t>
    </r>
    <r>
      <rPr>
        <sz val="9"/>
        <rFont val="Verdana"/>
        <family val="2"/>
      </rPr>
      <t xml:space="preserve"> 0,25% </t>
    </r>
    <r>
      <rPr>
        <sz val="9"/>
        <rFont val="돋움"/>
        <family val="3"/>
      </rPr>
      <t>이하</t>
    </r>
    <r>
      <rPr>
        <sz val="9"/>
        <rFont val="Verdana"/>
        <family val="2"/>
      </rPr>
      <t xml:space="preserve">, </t>
    </r>
    <r>
      <rPr>
        <sz val="9"/>
        <rFont val="돋움"/>
        <family val="3"/>
      </rPr>
      <t>인장강도</t>
    </r>
    <r>
      <rPr>
        <sz val="9"/>
        <rFont val="Verdana"/>
        <family val="2"/>
      </rPr>
      <t xml:space="preserve"> 40 Kg/mm2 </t>
    </r>
    <r>
      <rPr>
        <sz val="9"/>
        <rFont val="돋움"/>
        <family val="3"/>
      </rPr>
      <t>이하</t>
    </r>
    <phoneticPr fontId="4"/>
  </si>
  <si>
    <r>
      <t>중탄소강</t>
    </r>
    <r>
      <rPr>
        <sz val="9"/>
        <rFont val="Verdana"/>
        <family val="2"/>
      </rPr>
      <t xml:space="preserve">, </t>
    </r>
    <r>
      <rPr>
        <sz val="9"/>
        <rFont val="돋움"/>
        <family val="3"/>
      </rPr>
      <t>탄소</t>
    </r>
    <r>
      <rPr>
        <sz val="9"/>
        <rFont val="Verdana"/>
        <family val="2"/>
      </rPr>
      <t xml:space="preserve"> 0,55% </t>
    </r>
    <r>
      <rPr>
        <sz val="9"/>
        <rFont val="돋움"/>
        <family val="3"/>
      </rPr>
      <t>이하</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</si>
  <si>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고탄소강</t>
    </r>
    <r>
      <rPr>
        <sz val="9"/>
        <rFont val="Verdana"/>
        <family val="2"/>
      </rPr>
      <t xml:space="preserve">, </t>
    </r>
    <r>
      <rPr>
        <sz val="9"/>
        <rFont val="돋움"/>
        <family val="3"/>
      </rPr>
      <t>탄소</t>
    </r>
    <r>
      <rPr>
        <sz val="9"/>
        <rFont val="Verdana"/>
        <family val="2"/>
      </rPr>
      <t xml:space="preserve"> 0,85% </t>
    </r>
    <r>
      <rPr>
        <sz val="9"/>
        <rFont val="돋움"/>
        <family val="3"/>
      </rPr>
      <t>이하</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</si>
  <si>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저합금강</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</si>
  <si>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고합금강</t>
    </r>
    <r>
      <rPr>
        <sz val="9"/>
        <rFont val="Verdana"/>
        <family val="2"/>
      </rPr>
      <t xml:space="preserve">, </t>
    </r>
    <r>
      <rPr>
        <sz val="9"/>
        <rFont val="돋움"/>
        <family val="3"/>
      </rPr>
      <t>인장강도</t>
    </r>
    <r>
      <rPr>
        <sz val="9"/>
        <rFont val="Verdana"/>
        <family val="2"/>
      </rPr>
      <t xml:space="preserve"> 120 Kg/mm2 </t>
    </r>
    <r>
      <rPr>
        <sz val="9"/>
        <rFont val="돋움"/>
        <family val="3"/>
      </rPr>
      <t>이하</t>
    </r>
    <phoneticPr fontId="4"/>
  </si>
  <si>
    <r>
      <t>请在使用前阅读</t>
    </r>
    <r>
      <rPr>
        <sz val="10"/>
        <rFont val="Arial"/>
        <family val="2"/>
      </rPr>
      <t>!</t>
    </r>
    <phoneticPr fontId="4"/>
  </si>
  <si>
    <r>
      <t>警告</t>
    </r>
    <r>
      <rPr>
        <sz val="10"/>
        <rFont val="Arial"/>
        <family val="2"/>
      </rPr>
      <t>!</t>
    </r>
    <phoneticPr fontId="4"/>
  </si>
  <si>
    <t>如何使用软件</t>
    <phoneticPr fontId="4"/>
  </si>
  <si>
    <t>刀具补偿</t>
    <phoneticPr fontId="4"/>
  </si>
  <si>
    <t>即时修正螺纹直径</t>
    <phoneticPr fontId="4"/>
  </si>
  <si>
    <t>非标刀具或表中未列出的刀具</t>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</si>
  <si>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</si>
  <si>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t>스테인리스 스틸(쾌삭용)</t>
    <phoneticPr fontId="4"/>
  </si>
  <si>
    <r>
      <t>스테인리스</t>
    </r>
    <r>
      <rPr>
        <sz val="9"/>
        <rFont val="Verdana"/>
        <family val="2"/>
      </rPr>
      <t xml:space="preserve"> </t>
    </r>
    <r>
      <rPr>
        <sz val="9"/>
        <rFont val="돋움"/>
        <family val="3"/>
      </rPr>
      <t>스틸</t>
    </r>
    <r>
      <rPr>
        <sz val="9"/>
        <rFont val="Verdana"/>
        <family val="2"/>
      </rPr>
      <t xml:space="preserve">, SUS 3xx </t>
    </r>
    <r>
      <rPr>
        <sz val="9"/>
        <rFont val="돋움"/>
        <family val="3"/>
      </rPr>
      <t>계열</t>
    </r>
    <phoneticPr fontId="4"/>
  </si>
  <si>
    <t>스테인리스 스틸, SUS 4xx 계열</t>
    <phoneticPr fontId="4"/>
  </si>
  <si>
    <r>
      <t>순수</t>
    </r>
    <r>
      <rPr>
        <sz val="9"/>
        <rFont val="Verdana"/>
        <family val="2"/>
      </rPr>
      <t xml:space="preserve"> </t>
    </r>
    <r>
      <rPr>
        <sz val="9"/>
        <rFont val="돋움"/>
        <family val="3"/>
      </rPr>
      <t>티타늄</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</si>
  <si>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45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</si>
  <si>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55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</si>
  <si>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65 </t>
    </r>
    <r>
      <rPr>
        <sz val="9"/>
        <rFont val="돋움"/>
        <family val="3"/>
      </rPr>
      <t>이하</t>
    </r>
    <phoneticPr fontId="4"/>
  </si>
  <si>
    <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</si>
  <si>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</si>
  <si>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 xml:space="preserve">N = </t>
    </r>
    <r>
      <rPr>
        <sz val="10"/>
        <rFont val="宋体"/>
        <charset val="134"/>
      </rPr>
      <t>主轴转速</t>
    </r>
    <r>
      <rPr>
        <sz val="10"/>
        <rFont val="Arial"/>
        <family val="2"/>
      </rPr>
      <t xml:space="preserve"> (rpm)</t>
    </r>
    <phoneticPr fontId="4"/>
  </si>
  <si>
    <r>
      <t xml:space="preserve">FD = </t>
    </r>
    <r>
      <rPr>
        <sz val="10"/>
        <rFont val="宋体"/>
        <charset val="134"/>
      </rPr>
      <t>直径进给速度</t>
    </r>
    <r>
      <rPr>
        <sz val="10"/>
        <rFont val="Arial"/>
        <family val="2"/>
      </rPr>
      <t xml:space="preserve"> (mm/min)</t>
    </r>
    <phoneticPr fontId="4"/>
  </si>
  <si>
    <r>
      <t xml:space="preserve">Fd = </t>
    </r>
    <r>
      <rPr>
        <sz val="10"/>
        <rFont val="宋体"/>
        <charset val="134"/>
      </rPr>
      <t>中心进给速度</t>
    </r>
    <r>
      <rPr>
        <sz val="10"/>
        <rFont val="Arial"/>
        <family val="2"/>
      </rPr>
      <t xml:space="preserve"> (mm/min)</t>
    </r>
    <phoneticPr fontId="4"/>
  </si>
  <si>
    <r>
      <t xml:space="preserve">T = </t>
    </r>
    <r>
      <rPr>
        <sz val="10"/>
        <rFont val="宋体"/>
        <charset val="134"/>
      </rPr>
      <t>螺纹加工时间</t>
    </r>
    <r>
      <rPr>
        <sz val="10"/>
        <rFont val="Arial"/>
        <family val="2"/>
      </rPr>
      <t xml:space="preserve"> (</t>
    </r>
    <r>
      <rPr>
        <sz val="10"/>
        <rFont val="宋体"/>
        <charset val="134"/>
      </rPr>
      <t>秒</t>
    </r>
    <r>
      <rPr>
        <sz val="10"/>
        <rFont val="Arial"/>
        <family val="2"/>
      </rPr>
      <t>)</t>
    </r>
    <phoneticPr fontId="4"/>
  </si>
  <si>
    <r>
      <t>CNC</t>
    </r>
    <r>
      <rPr>
        <sz val="10"/>
        <rFont val="宋体"/>
        <charset val="134"/>
      </rPr>
      <t>程序</t>
    </r>
    <r>
      <rPr>
        <sz val="10"/>
        <rFont val="Arial"/>
        <family val="2"/>
      </rPr>
      <t xml:space="preserve">, </t>
    </r>
    <r>
      <rPr>
        <sz val="10"/>
        <rFont val="宋体"/>
        <charset val="134"/>
      </rPr>
      <t>用于发那科数控系统</t>
    </r>
    <phoneticPr fontId="4"/>
  </si>
  <si>
    <t>采用加工中心铣削内螺纹</t>
    <phoneticPr fontId="4"/>
  </si>
  <si>
    <t>采用车削中心铣削内螺纹</t>
    <phoneticPr fontId="4"/>
  </si>
  <si>
    <r>
      <t>发那科</t>
    </r>
    <r>
      <rPr>
        <sz val="10"/>
        <rFont val="Arial"/>
        <family val="2"/>
      </rPr>
      <t xml:space="preserve"> (</t>
    </r>
    <r>
      <rPr>
        <sz val="10"/>
        <rFont val="宋体"/>
        <charset val="134"/>
      </rPr>
      <t>日本数控系统</t>
    </r>
    <r>
      <rPr>
        <sz val="10"/>
        <rFont val="Arial"/>
        <family val="2"/>
      </rPr>
      <t>)</t>
    </r>
    <phoneticPr fontId="4"/>
  </si>
  <si>
    <r>
      <t>海德汉</t>
    </r>
    <r>
      <rPr>
        <sz val="10"/>
        <rFont val="Arial"/>
        <family val="2"/>
      </rPr>
      <t xml:space="preserve"> (</t>
    </r>
    <r>
      <rPr>
        <sz val="10"/>
        <rFont val="宋体"/>
        <charset val="134"/>
      </rPr>
      <t>德国数控系统</t>
    </r>
    <r>
      <rPr>
        <sz val="10"/>
        <rFont val="Arial"/>
        <family val="2"/>
      </rPr>
      <t>)</t>
    </r>
    <phoneticPr fontId="4"/>
  </si>
  <si>
    <r>
      <t>西门子</t>
    </r>
    <r>
      <rPr>
        <sz val="10"/>
        <rFont val="Arial"/>
        <family val="2"/>
      </rPr>
      <t xml:space="preserve"> (</t>
    </r>
    <r>
      <rPr>
        <sz val="10"/>
        <rFont val="宋体"/>
        <charset val="134"/>
      </rPr>
      <t>德国数控系统</t>
    </r>
    <r>
      <rPr>
        <sz val="10"/>
        <rFont val="Arial"/>
        <family val="2"/>
      </rPr>
      <t>)</t>
    </r>
    <phoneticPr fontId="4"/>
  </si>
  <si>
    <r>
      <t>NUM (</t>
    </r>
    <r>
      <rPr>
        <sz val="10"/>
        <rFont val="宋体"/>
        <charset val="134"/>
      </rPr>
      <t>法国数控系统</t>
    </r>
    <r>
      <rPr>
        <sz val="10"/>
        <rFont val="Arial"/>
        <family val="2"/>
      </rPr>
      <t xml:space="preserve">, </t>
    </r>
    <r>
      <rPr>
        <sz val="10"/>
        <rFont val="宋体"/>
        <charset val="134"/>
      </rPr>
      <t>施耐德电气的子公司</t>
    </r>
    <r>
      <rPr>
        <sz val="10"/>
        <rFont val="Arial"/>
        <family val="2"/>
      </rPr>
      <t>)</t>
    </r>
    <phoneticPr fontId="4"/>
  </si>
  <si>
    <r>
      <t>发格</t>
    </r>
    <r>
      <rPr>
        <sz val="10"/>
        <rFont val="Arial"/>
        <family val="2"/>
      </rPr>
      <t xml:space="preserve"> (</t>
    </r>
    <r>
      <rPr>
        <sz val="10"/>
        <rFont val="宋体"/>
        <charset val="134"/>
      </rPr>
      <t>西班牙数控系统</t>
    </r>
    <r>
      <rPr>
        <sz val="10"/>
        <rFont val="Arial"/>
        <family val="2"/>
      </rPr>
      <t>)</t>
    </r>
    <phoneticPr fontId="4"/>
  </si>
  <si>
    <r>
      <t>马扎克</t>
    </r>
    <r>
      <rPr>
        <sz val="10"/>
        <rFont val="Arial"/>
        <family val="2"/>
      </rPr>
      <t xml:space="preserve"> (</t>
    </r>
    <r>
      <rPr>
        <sz val="10"/>
        <rFont val="宋体"/>
        <charset val="134"/>
      </rPr>
      <t>日本数控系统</t>
    </r>
    <r>
      <rPr>
        <sz val="10"/>
        <rFont val="Arial"/>
        <family val="2"/>
      </rPr>
      <t>)</t>
    </r>
    <phoneticPr fontId="4"/>
  </si>
  <si>
    <r>
      <t>三菱</t>
    </r>
    <r>
      <rPr>
        <sz val="10"/>
        <rFont val="Arial"/>
        <family val="2"/>
      </rPr>
      <t xml:space="preserve"> (</t>
    </r>
    <r>
      <rPr>
        <sz val="10"/>
        <rFont val="宋体"/>
        <charset val="134"/>
      </rPr>
      <t>日本数控系统</t>
    </r>
    <r>
      <rPr>
        <sz val="10"/>
        <rFont val="Arial"/>
        <family val="2"/>
      </rPr>
      <t>)</t>
    </r>
    <phoneticPr fontId="4"/>
  </si>
  <si>
    <r>
      <t xml:space="preserve">M - </t>
    </r>
    <r>
      <rPr>
        <sz val="10"/>
        <rFont val="宋体"/>
        <charset val="134"/>
      </rPr>
      <t>公制螺纹</t>
    </r>
    <phoneticPr fontId="4"/>
  </si>
  <si>
    <r>
      <t xml:space="preserve">UN - </t>
    </r>
    <r>
      <rPr>
        <sz val="10"/>
        <rFont val="宋体"/>
        <charset val="134"/>
      </rPr>
      <t>美制统一螺纹</t>
    </r>
    <phoneticPr fontId="4"/>
  </si>
  <si>
    <r>
      <t xml:space="preserve">G - </t>
    </r>
    <r>
      <rPr>
        <sz val="10"/>
        <rFont val="宋体"/>
        <charset val="134"/>
      </rPr>
      <t>惠氏管螺纹</t>
    </r>
    <phoneticPr fontId="4"/>
  </si>
  <si>
    <r>
      <t xml:space="preserve">BSPT - </t>
    </r>
    <r>
      <rPr>
        <sz val="10"/>
        <rFont val="宋体"/>
        <charset val="134"/>
      </rPr>
      <t>英制锥管螺纹</t>
    </r>
    <phoneticPr fontId="4"/>
  </si>
  <si>
    <r>
      <t xml:space="preserve">NPT - </t>
    </r>
    <r>
      <rPr>
        <sz val="10"/>
        <rFont val="宋体"/>
        <charset val="134"/>
      </rPr>
      <t>美制锥管螺纹</t>
    </r>
    <phoneticPr fontId="4"/>
  </si>
  <si>
    <r>
      <t xml:space="preserve">NPTF - </t>
    </r>
    <r>
      <rPr>
        <sz val="10"/>
        <rFont val="宋体"/>
        <charset val="134"/>
      </rPr>
      <t>干封美制锥管螺纹</t>
    </r>
    <phoneticPr fontId="4"/>
  </si>
  <si>
    <r>
      <t>中碳钢</t>
    </r>
    <r>
      <rPr>
        <sz val="10"/>
        <rFont val="Arial"/>
        <family val="2"/>
      </rPr>
      <t>, &lt; 0,55% C, &lt; 400 N/mm2</t>
    </r>
    <phoneticPr fontId="4"/>
  </si>
  <si>
    <r>
      <t>高碳钢</t>
    </r>
    <r>
      <rPr>
        <sz val="10"/>
        <rFont val="Arial"/>
        <family val="2"/>
      </rPr>
      <t>, &lt; 0,85% C, &lt; 850 N/mm2</t>
    </r>
    <phoneticPr fontId="4"/>
  </si>
  <si>
    <r>
      <t>不锈钢</t>
    </r>
    <r>
      <rPr>
        <sz val="10"/>
        <rFont val="Arial"/>
        <family val="2"/>
      </rPr>
      <t xml:space="preserve">, </t>
    </r>
    <r>
      <rPr>
        <sz val="10"/>
        <rFont val="宋体"/>
        <charset val="134"/>
      </rPr>
      <t>易切削</t>
    </r>
    <phoneticPr fontId="4"/>
  </si>
  <si>
    <r>
      <t>不锈钢</t>
    </r>
    <r>
      <rPr>
        <sz val="10"/>
        <rFont val="Arial"/>
        <family val="2"/>
      </rPr>
      <t xml:space="preserve">, </t>
    </r>
    <r>
      <rPr>
        <sz val="10"/>
        <rFont val="宋体"/>
        <charset val="134"/>
      </rPr>
      <t>奥氏体</t>
    </r>
    <phoneticPr fontId="4"/>
  </si>
  <si>
    <t>テーパーねじ</t>
    <phoneticPr fontId="4"/>
  </si>
  <si>
    <t>カッタ径はシャフトに最も近いねじの先端よりも大きいです。したがって、ねじの径はカッタの加工が行われる部分の値を入力してください。</t>
    <rPh sb="3" eb="4">
      <t/>
    </rPh>
    <rPh sb="10" eb="11">
      <t/>
    </rPh>
    <rPh sb="12" eb="13">
      <t/>
    </rPh>
    <rPh sb="17" eb="19">
      <t/>
    </rPh>
    <rPh sb="22" eb="23">
      <t/>
    </rPh>
    <rPh sb="37" eb="38">
      <t/>
    </rPh>
    <rPh sb="43" eb="45">
      <t/>
    </rPh>
    <rPh sb="46" eb="47">
      <t/>
    </rPh>
    <rPh sb="50" eb="52">
      <t/>
    </rPh>
    <rPh sb="53" eb="54">
      <t/>
    </rPh>
    <rPh sb="55" eb="57">
      <t/>
    </rPh>
    <phoneticPr fontId="4"/>
  </si>
  <si>
    <t>戻る</t>
    <rPh sb="0" eb="1">
      <t/>
    </rPh>
    <phoneticPr fontId="4"/>
  </si>
  <si>
    <r>
      <t>지멘스용</t>
    </r>
    <r>
      <rPr>
        <sz val="9"/>
        <rFont val="Verdana"/>
        <family val="2"/>
      </rPr>
      <t xml:space="preserve"> CNC </t>
    </r>
    <r>
      <rPr>
        <sz val="9"/>
        <rFont val="돋움"/>
        <family val="3"/>
      </rPr>
      <t>프로그램</t>
    </r>
    <phoneticPr fontId="4"/>
  </si>
  <si>
    <r>
      <t>넘용</t>
    </r>
    <r>
      <rPr>
        <sz val="9"/>
        <rFont val="Verdana"/>
        <family val="2"/>
      </rPr>
      <t xml:space="preserve"> CNC </t>
    </r>
    <r>
      <rPr>
        <sz val="9"/>
        <rFont val="돋움"/>
        <family val="3"/>
      </rPr>
      <t>프로그램</t>
    </r>
    <phoneticPr fontId="4"/>
  </si>
  <si>
    <r>
      <t>파고르용</t>
    </r>
    <r>
      <rPr>
        <sz val="9"/>
        <rFont val="Verdana"/>
        <family val="2"/>
      </rPr>
      <t xml:space="preserve"> CNC </t>
    </r>
    <r>
      <rPr>
        <sz val="9"/>
        <rFont val="돋움"/>
        <family val="3"/>
      </rPr>
      <t>프로그램</t>
    </r>
    <phoneticPr fontId="4"/>
  </si>
  <si>
    <r>
      <t>마작용</t>
    </r>
    <r>
      <rPr>
        <sz val="9"/>
        <rFont val="Verdana"/>
        <family val="2"/>
      </rPr>
      <t xml:space="preserve"> CNC </t>
    </r>
    <r>
      <rPr>
        <sz val="9"/>
        <rFont val="돋움"/>
        <family val="3"/>
      </rPr>
      <t>프로그램</t>
    </r>
    <phoneticPr fontId="4"/>
  </si>
  <si>
    <r>
      <t>미쓰비시용</t>
    </r>
    <r>
      <rPr>
        <sz val="9"/>
        <rFont val="Verdana"/>
        <family val="2"/>
      </rPr>
      <t xml:space="preserve"> CNC </t>
    </r>
    <r>
      <rPr>
        <sz val="9"/>
        <rFont val="돋움"/>
        <family val="3"/>
      </rPr>
      <t>프로그램</t>
    </r>
    <phoneticPr fontId="4"/>
  </si>
  <si>
    <t>쓰레드 밀링(나사가공)</t>
    <phoneticPr fontId="4"/>
  </si>
  <si>
    <t>사용전에 읽어주세요!</t>
    <phoneticPr fontId="4"/>
  </si>
  <si>
    <t>경고!</t>
    <phoneticPr fontId="4"/>
  </si>
  <si>
    <t>１刃あるいは２刃のねじ切りツール</t>
    <rPh sb="1" eb="2">
      <t/>
    </rPh>
    <rPh sb="7" eb="8">
      <t/>
    </rPh>
    <rPh sb="11" eb="12">
      <t/>
    </rPh>
    <phoneticPr fontId="4"/>
  </si>
  <si>
    <t>より小さい腰まわりのねじ切りツール</t>
    <rPh sb="2" eb="3">
      <t/>
    </rPh>
    <rPh sb="5" eb="6">
      <t/>
    </rPh>
    <rPh sb="12" eb="13">
      <t/>
    </rPh>
    <phoneticPr fontId="4"/>
  </si>
  <si>
    <t>スローアウェイチップのねじ切りカッタ</t>
    <rPh sb="13" eb="14">
      <t/>
    </rPh>
    <phoneticPr fontId="4"/>
  </si>
  <si>
    <t>注意！</t>
    <rPh sb="0" eb="2">
      <t/>
    </rPh>
    <phoneticPr fontId="4"/>
  </si>
  <si>
    <t>プログラムの使い方</t>
    <rPh sb="6" eb="7">
      <t/>
    </rPh>
    <rPh sb="8" eb="9">
      <t/>
    </rPh>
    <phoneticPr fontId="4"/>
  </si>
  <si>
    <t>ツール補正</t>
    <rPh sb="3" eb="5">
      <t/>
    </rPh>
    <phoneticPr fontId="4"/>
  </si>
  <si>
    <r>
      <t xml:space="preserve">L = </t>
    </r>
    <r>
      <rPr>
        <sz val="10"/>
        <rFont val="宋体"/>
        <charset val="134"/>
      </rPr>
      <t>螺纹长度</t>
    </r>
    <r>
      <rPr>
        <sz val="10"/>
        <rFont val="Arial"/>
        <family val="2"/>
      </rPr>
      <t xml:space="preserve"> (mm)</t>
    </r>
    <phoneticPr fontId="4"/>
  </si>
  <si>
    <r>
      <t xml:space="preserve">d = </t>
    </r>
    <r>
      <rPr>
        <sz val="10"/>
        <rFont val="宋体"/>
        <charset val="134"/>
      </rPr>
      <t>刀具直径</t>
    </r>
    <r>
      <rPr>
        <sz val="10"/>
        <rFont val="Arial"/>
        <family val="2"/>
      </rPr>
      <t xml:space="preserve"> (mm)</t>
    </r>
    <phoneticPr fontId="4"/>
  </si>
  <si>
    <r>
      <t xml:space="preserve">l = </t>
    </r>
    <r>
      <rPr>
        <sz val="10"/>
        <rFont val="宋体"/>
        <charset val="134"/>
      </rPr>
      <t>切削刃长度</t>
    </r>
    <r>
      <rPr>
        <sz val="10"/>
        <rFont val="Arial"/>
        <family val="2"/>
      </rPr>
      <t xml:space="preserve"> (mm)</t>
    </r>
    <phoneticPr fontId="4"/>
  </si>
  <si>
    <r>
      <t xml:space="preserve">z = </t>
    </r>
    <r>
      <rPr>
        <sz val="10"/>
        <rFont val="宋体"/>
        <charset val="134"/>
      </rPr>
      <t>齿数</t>
    </r>
    <phoneticPr fontId="4"/>
  </si>
  <si>
    <t>Välj språk på höger sida längst ner och därefter gör du dina val på rullgardinsmenyerna samt fyller i de fyra första rutorna. Med denna information kommer programmet i den sista rullgardinsmenyn ge dig förslag på lämpliga verktyg. När du valt ett verktyg visas information om verktyget samt rekommenderad skärdata och den tid det kommer ta att tillverka gängan. Förutom detta visas CNC programmet. Detta kan kopieras ut och klistras in i din CNC fil. De övriga sex rutorna fylls endast i om du inte accepterar det rekommenderade.</t>
  </si>
  <si>
    <t>Annetut työstäarvot ovat vain ohjeellisia lähtöarvoja. On monia tekiöitä jotka vaikuttavat työsöarvoihin mm tukevuus, työkalukiinnitys, ets. SmiCut ei vastaa vahingoista joita voi aiheutua käyttäessä CNC ohjelmaa taikka Työstöarvoja.</t>
  </si>
  <si>
    <t>Wybierz język z menu w prawym dolnym rogu i wypełnij cztery pierwsze pola.Po podaniu właściwym wartosci program wybierze rekomendowany zakres frezów.Po wybraniu jednego z narzędzi ,zostaną wyświetlone dane o nim wraz rekomendacją dotyczącą warunków skrawania i czasu wykonania gwintu.Równocześnie zostanie obliczony program CNC ,który można skopiować i zapisać do plików CNC.Pozostałe sześć wolnych pól może być zmienione jedynie w przypadku niezakceptowania wygenerowanych przez program wartości.</t>
  </si>
  <si>
    <t>Kompensacja Narzędzi</t>
  </si>
  <si>
    <r>
      <t xml:space="preserve">V = </t>
    </r>
    <r>
      <rPr>
        <sz val="9"/>
        <rFont val="돋움"/>
        <family val="3"/>
      </rPr>
      <t>절삭속도</t>
    </r>
    <r>
      <rPr>
        <sz val="9"/>
        <rFont val="Verdana"/>
        <family val="2"/>
      </rPr>
      <t xml:space="preserve"> (m/min)</t>
    </r>
    <phoneticPr fontId="4"/>
  </si>
  <si>
    <r>
      <t xml:space="preserve">Fz = </t>
    </r>
    <r>
      <rPr>
        <sz val="9"/>
        <rFont val="돋움"/>
        <family val="3"/>
      </rPr>
      <t>이송</t>
    </r>
    <r>
      <rPr>
        <sz val="9"/>
        <rFont val="Verdana"/>
        <family val="2"/>
      </rPr>
      <t>/</t>
    </r>
    <r>
      <rPr>
        <sz val="9"/>
        <rFont val="돋움"/>
        <family val="3"/>
      </rPr>
      <t>날당</t>
    </r>
    <r>
      <rPr>
        <sz val="9"/>
        <rFont val="Verdana"/>
        <family val="2"/>
      </rPr>
      <t>(mm/tooth)</t>
    </r>
    <phoneticPr fontId="4"/>
  </si>
  <si>
    <r>
      <t>반복</t>
    </r>
    <r>
      <rPr>
        <sz val="9"/>
        <rFont val="Verdana"/>
        <family val="2"/>
      </rPr>
      <t xml:space="preserve"> </t>
    </r>
    <r>
      <rPr>
        <sz val="9"/>
        <rFont val="돋움"/>
        <family val="3"/>
      </rPr>
      <t>횟수</t>
    </r>
    <r>
      <rPr>
        <sz val="9"/>
        <rFont val="Verdana"/>
        <family val="2"/>
      </rPr>
      <t xml:space="preserve">, </t>
    </r>
    <r>
      <rPr>
        <sz val="9"/>
        <rFont val="돋움"/>
        <family val="3"/>
      </rPr>
      <t>원주방향</t>
    </r>
    <r>
      <rPr>
        <sz val="9"/>
        <rFont val="Verdana"/>
        <family val="2"/>
      </rPr>
      <t xml:space="preserve"> (max 4)</t>
    </r>
    <phoneticPr fontId="4"/>
  </si>
  <si>
    <t>반복 횟수, 축방향</t>
    <phoneticPr fontId="4"/>
  </si>
  <si>
    <r>
      <t xml:space="preserve">N = </t>
    </r>
    <r>
      <rPr>
        <sz val="9"/>
        <rFont val="돋움"/>
        <family val="3"/>
      </rPr>
      <t>스핀들</t>
    </r>
    <r>
      <rPr>
        <sz val="9"/>
        <rFont val="Verdana"/>
        <family val="2"/>
      </rPr>
      <t xml:space="preserve"> </t>
    </r>
    <r>
      <rPr>
        <sz val="9"/>
        <rFont val="돋움"/>
        <family val="3"/>
      </rPr>
      <t>회전수</t>
    </r>
    <r>
      <rPr>
        <sz val="9"/>
        <rFont val="Verdana"/>
        <family val="2"/>
      </rPr>
      <t>(rpm)</t>
    </r>
    <phoneticPr fontId="4"/>
  </si>
  <si>
    <r>
      <t xml:space="preserve">FD = </t>
    </r>
    <r>
      <rPr>
        <sz val="9"/>
        <rFont val="돋움"/>
        <family val="3"/>
      </rPr>
      <t>나사</t>
    </r>
    <r>
      <rPr>
        <sz val="9"/>
        <rFont val="Verdana"/>
        <family val="2"/>
      </rPr>
      <t xml:space="preserve"> </t>
    </r>
    <r>
      <rPr>
        <sz val="9"/>
        <rFont val="돋움"/>
        <family val="3"/>
      </rPr>
      <t>외경에서의</t>
    </r>
    <r>
      <rPr>
        <sz val="9"/>
        <rFont val="Verdana"/>
        <family val="2"/>
      </rPr>
      <t xml:space="preserve"> </t>
    </r>
    <r>
      <rPr>
        <sz val="9"/>
        <rFont val="돋움"/>
        <family val="3"/>
      </rPr>
      <t>이송</t>
    </r>
    <r>
      <rPr>
        <sz val="9"/>
        <rFont val="Verdana"/>
        <family val="2"/>
      </rPr>
      <t>(mm/min)</t>
    </r>
    <phoneticPr fontId="4"/>
  </si>
  <si>
    <r>
      <t xml:space="preserve">Fd = </t>
    </r>
    <r>
      <rPr>
        <sz val="9"/>
        <rFont val="돋움"/>
        <family val="3"/>
      </rPr>
      <t>공구</t>
    </r>
    <r>
      <rPr>
        <sz val="9"/>
        <rFont val="Verdana"/>
        <family val="2"/>
      </rPr>
      <t xml:space="preserve"> </t>
    </r>
    <r>
      <rPr>
        <sz val="9"/>
        <rFont val="돋움"/>
        <family val="3"/>
      </rPr>
      <t>중심에서의</t>
    </r>
    <r>
      <rPr>
        <sz val="9"/>
        <rFont val="Verdana"/>
        <family val="2"/>
      </rPr>
      <t xml:space="preserve"> </t>
    </r>
    <r>
      <rPr>
        <sz val="9"/>
        <rFont val="돋움"/>
        <family val="3"/>
      </rPr>
      <t>이송</t>
    </r>
    <r>
      <rPr>
        <sz val="9"/>
        <rFont val="Verdana"/>
        <family val="2"/>
      </rPr>
      <t>(mm/min)</t>
    </r>
    <phoneticPr fontId="4"/>
  </si>
  <si>
    <r>
      <t xml:space="preserve">T = </t>
    </r>
    <r>
      <rPr>
        <sz val="9"/>
        <rFont val="돋움"/>
        <family val="3"/>
      </rPr>
      <t>쓰레드</t>
    </r>
    <r>
      <rPr>
        <sz val="9"/>
        <rFont val="Verdana"/>
        <family val="2"/>
      </rPr>
      <t xml:space="preserve"> </t>
    </r>
    <r>
      <rPr>
        <sz val="9"/>
        <rFont val="돋움"/>
        <family val="3"/>
      </rPr>
      <t>밀링</t>
    </r>
    <r>
      <rPr>
        <sz val="9"/>
        <rFont val="Verdana"/>
        <family val="2"/>
      </rPr>
      <t xml:space="preserve"> </t>
    </r>
    <r>
      <rPr>
        <sz val="9"/>
        <rFont val="돋움"/>
        <family val="3"/>
      </rPr>
      <t>시간</t>
    </r>
    <r>
      <rPr>
        <sz val="9"/>
        <rFont val="Verdana"/>
        <family val="2"/>
      </rPr>
      <t>(</t>
    </r>
    <r>
      <rPr>
        <sz val="9"/>
        <rFont val="돋움"/>
        <family val="3"/>
      </rPr>
      <t>초</t>
    </r>
    <r>
      <rPr>
        <sz val="9"/>
        <rFont val="Verdana"/>
        <family val="2"/>
      </rPr>
      <t>)</t>
    </r>
    <phoneticPr fontId="4"/>
  </si>
  <si>
    <t>하이덴하인용 CNC 프로그램</t>
    <phoneticPr fontId="4"/>
  </si>
  <si>
    <t>Stal Nierdzewna, Ferrytyczna i Austenityczna</t>
  </si>
  <si>
    <t>Titan, Niestopowy &lt; 700 N/mm2</t>
  </si>
  <si>
    <t>Titan , Stopowy, &lt; 900 N/mm2</t>
  </si>
  <si>
    <t>Titan , Stopowy, &lt; 1250 N/mm2</t>
  </si>
  <si>
    <t>Nikiel Niestopowy&lt; 500 N/mm2</t>
  </si>
  <si>
    <t>Nikiel Stopowy, &lt; 900 N/mm2</t>
  </si>
  <si>
    <t>Nikiel Stopowy, &lt; 1250 N/mm2</t>
  </si>
  <si>
    <t>Miedź  Niestopowa &lt; 350 N/mm2</t>
  </si>
  <si>
    <t>Miedź,Mosiąz,Brąz &lt; 700 N/mm2</t>
  </si>
  <si>
    <r>
      <t xml:space="preserve">d = </t>
    </r>
    <r>
      <rPr>
        <sz val="9"/>
        <rFont val="돋움"/>
        <family val="3"/>
      </rPr>
      <t>공구</t>
    </r>
    <r>
      <rPr>
        <sz val="9"/>
        <rFont val="Verdana"/>
        <family val="2"/>
      </rPr>
      <t xml:space="preserve"> </t>
    </r>
    <r>
      <rPr>
        <sz val="9"/>
        <rFont val="돋움"/>
        <family val="3"/>
      </rPr>
      <t>직경</t>
    </r>
    <r>
      <rPr>
        <sz val="9"/>
        <rFont val="Verdana"/>
        <family val="2"/>
      </rPr>
      <t xml:space="preserve"> (mm)</t>
    </r>
    <phoneticPr fontId="4"/>
  </si>
  <si>
    <t>Frezy do gwintów z jednym lub dwoma zębami na ostrzu</t>
  </si>
  <si>
    <t>Frezy do gwintów odmiana Krótka</t>
  </si>
  <si>
    <t>Program automatycznie wyliczy wymagane wartosci   w kilku krokach jeżeli frez do gwintu ma krótkszą długości roboczej niż założona długość gwintu</t>
  </si>
  <si>
    <t>Głowice frezujące gwinty z płytką wymienną</t>
  </si>
  <si>
    <t>Żeliwo, Żeliwo sferoidalne,Ciągliwe &lt; 1000 N/mm2</t>
  </si>
  <si>
    <t>Stal Nierdzewna,Automatowa</t>
  </si>
  <si>
    <r>
      <t>화낙용</t>
    </r>
    <r>
      <rPr>
        <sz val="9"/>
        <rFont val="Verdana"/>
        <family val="2"/>
      </rPr>
      <t xml:space="preserve"> CNC </t>
    </r>
    <r>
      <rPr>
        <sz val="9"/>
        <rFont val="돋움"/>
        <family val="3"/>
      </rPr>
      <t>프로그램</t>
    </r>
    <phoneticPr fontId="4"/>
  </si>
  <si>
    <t>Stal Nierdzewna, Austenityczna</t>
  </si>
  <si>
    <t>Stal , niskostopowa, &lt; 850 N/mm2</t>
  </si>
  <si>
    <t>Stal ,wysokostopowa,&lt; 1200 N/mm2</t>
  </si>
  <si>
    <t>Stal, utwardzona, &lt; 45 HRC</t>
  </si>
  <si>
    <t>Stal, utwardzona, &lt; 55 HRC</t>
  </si>
  <si>
    <t>Stal, utwardzona, &lt; 65 HRC</t>
  </si>
  <si>
    <t>Żeliwo, Żeliwo Szare,&lt; 500 N/mm2</t>
  </si>
  <si>
    <t>Żeliwo, Żeliwo Szare,&lt; 1000 N/mm2</t>
  </si>
  <si>
    <t>Żeliwo, Żeliwo sferoidalne,Ciągliwe &lt; 700 N/mm2</t>
  </si>
  <si>
    <t>Miedź,Brąz dużej wytrzymałości  , &lt; 1500 N/mm2</t>
  </si>
  <si>
    <r>
      <t xml:space="preserve">l = </t>
    </r>
    <r>
      <rPr>
        <sz val="9"/>
        <rFont val="돋움"/>
        <family val="3"/>
      </rPr>
      <t>절삭날</t>
    </r>
    <r>
      <rPr>
        <sz val="9"/>
        <rFont val="Verdana"/>
        <family val="2"/>
      </rPr>
      <t xml:space="preserve"> </t>
    </r>
    <r>
      <rPr>
        <sz val="9"/>
        <rFont val="돋움"/>
        <family val="3"/>
      </rPr>
      <t>길이</t>
    </r>
    <r>
      <rPr>
        <sz val="9"/>
        <rFont val="Verdana"/>
        <family val="2"/>
      </rPr>
      <t xml:space="preserve"> (mm)</t>
    </r>
    <phoneticPr fontId="4"/>
  </si>
  <si>
    <r>
      <t xml:space="preserve">z = </t>
    </r>
    <r>
      <rPr>
        <sz val="9"/>
        <rFont val="돋움"/>
        <family val="3"/>
      </rPr>
      <t>날</t>
    </r>
    <r>
      <rPr>
        <sz val="9"/>
        <rFont val="Verdana"/>
        <family val="2"/>
      </rPr>
      <t xml:space="preserve"> </t>
    </r>
    <r>
      <rPr>
        <sz val="9"/>
        <rFont val="돋움"/>
        <family val="3"/>
      </rPr>
      <t>수</t>
    </r>
    <phoneticPr fontId="4"/>
  </si>
  <si>
    <t>프로그램 사용 방법</t>
    <phoneticPr fontId="4"/>
  </si>
  <si>
    <t>머시닝 센터에서의 내경 쓰레드 밀링(나사가공)</t>
    <phoneticPr fontId="4"/>
  </si>
  <si>
    <t>라이브 툴의 선반에서의 내경 쓰레드 밀링(나사가공)</t>
    <phoneticPr fontId="4"/>
  </si>
  <si>
    <t>화낙</t>
    <phoneticPr fontId="4"/>
  </si>
  <si>
    <t>하이덴하인</t>
    <phoneticPr fontId="4"/>
  </si>
  <si>
    <t>지멘스</t>
    <phoneticPr fontId="4"/>
  </si>
  <si>
    <t>넘</t>
    <phoneticPr fontId="4"/>
  </si>
  <si>
    <t>파고르</t>
    <phoneticPr fontId="4"/>
  </si>
  <si>
    <t>마작</t>
    <phoneticPr fontId="4"/>
  </si>
  <si>
    <t>미쓰비시</t>
    <phoneticPr fontId="4"/>
  </si>
  <si>
    <r>
      <t xml:space="preserve">M - </t>
    </r>
    <r>
      <rPr>
        <sz val="9"/>
        <rFont val="돋움"/>
        <family val="3"/>
      </rPr>
      <t>미터나사</t>
    </r>
    <phoneticPr fontId="4"/>
  </si>
  <si>
    <r>
      <t xml:space="preserve">UN - </t>
    </r>
    <r>
      <rPr>
        <sz val="9"/>
        <rFont val="돋움"/>
        <family val="3"/>
      </rPr>
      <t>인치나사</t>
    </r>
    <phoneticPr fontId="4"/>
  </si>
  <si>
    <r>
      <t xml:space="preserve">G - </t>
    </r>
    <r>
      <rPr>
        <sz val="9"/>
        <rFont val="돋움"/>
        <family val="3"/>
      </rPr>
      <t>관용</t>
    </r>
    <r>
      <rPr>
        <sz val="9"/>
        <rFont val="Verdana"/>
        <family val="2"/>
      </rPr>
      <t xml:space="preserve"> </t>
    </r>
    <r>
      <rPr>
        <sz val="9"/>
        <rFont val="돋움"/>
        <family val="3"/>
      </rPr>
      <t>위트워드</t>
    </r>
    <r>
      <rPr>
        <sz val="9"/>
        <rFont val="Verdana"/>
        <family val="2"/>
      </rPr>
      <t xml:space="preserve"> </t>
    </r>
    <r>
      <rPr>
        <sz val="9"/>
        <rFont val="돋움"/>
        <family val="3"/>
      </rPr>
      <t>나사</t>
    </r>
    <phoneticPr fontId="4"/>
  </si>
  <si>
    <r>
      <t xml:space="preserve">BSPT - </t>
    </r>
    <r>
      <rPr>
        <sz val="9"/>
        <rFont val="돋움"/>
        <family val="3"/>
      </rPr>
      <t>관용</t>
    </r>
    <r>
      <rPr>
        <sz val="9"/>
        <rFont val="Verdana"/>
        <family val="2"/>
      </rPr>
      <t xml:space="preserve"> </t>
    </r>
    <r>
      <rPr>
        <sz val="9"/>
        <rFont val="돋움"/>
        <family val="3"/>
      </rPr>
      <t>테이퍼 나사(영국식)</t>
    </r>
    <phoneticPr fontId="4"/>
  </si>
  <si>
    <r>
      <t xml:space="preserve">NPT - </t>
    </r>
    <r>
      <rPr>
        <sz val="9"/>
        <rFont val="돋움"/>
        <family val="3"/>
      </rPr>
      <t>관용</t>
    </r>
    <r>
      <rPr>
        <sz val="9"/>
        <rFont val="Verdana"/>
        <family val="2"/>
      </rPr>
      <t xml:space="preserve"> </t>
    </r>
    <r>
      <rPr>
        <sz val="9"/>
        <rFont val="돋움"/>
        <family val="3"/>
      </rPr>
      <t>테이퍼 나사</t>
    </r>
    <phoneticPr fontId="4"/>
  </si>
  <si>
    <r>
      <t xml:space="preserve">NPTF - </t>
    </r>
    <r>
      <rPr>
        <sz val="9"/>
        <rFont val="돋움"/>
        <family val="3"/>
      </rPr>
      <t>드라이씰용, 관용 테이퍼 나사</t>
    </r>
    <phoneticPr fontId="4"/>
  </si>
  <si>
    <t>d=Średnica narzędzia</t>
  </si>
  <si>
    <t>l=długość krawędzi roboczej</t>
  </si>
  <si>
    <t>z=ilość ostrzy</t>
  </si>
  <si>
    <t>V=prędkość skrawania(m/min)</t>
  </si>
  <si>
    <t>Fz=posów na ząb (mm/ząb)</t>
  </si>
  <si>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</si>
  <si>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</si>
  <si>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순수</t>
    </r>
    <r>
      <rPr>
        <sz val="9"/>
        <rFont val="Verdana"/>
        <family val="2"/>
      </rPr>
      <t xml:space="preserve"> </t>
    </r>
    <r>
      <rPr>
        <sz val="9"/>
        <rFont val="돋움"/>
        <family val="3"/>
      </rPr>
      <t>니켈</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</si>
  <si>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</si>
  <si>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</si>
  <si>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순동</t>
    </r>
    <r>
      <rPr>
        <sz val="9"/>
        <rFont val="Verdana"/>
        <family val="2"/>
      </rPr>
      <t xml:space="preserve">, </t>
    </r>
    <r>
      <rPr>
        <sz val="9"/>
        <rFont val="돋움"/>
        <family val="3"/>
      </rPr>
      <t>인장강도</t>
    </r>
    <r>
      <rPr>
        <sz val="9"/>
        <rFont val="Verdana"/>
        <family val="2"/>
      </rPr>
      <t xml:space="preserve"> 35 Kg/mm2 </t>
    </r>
    <r>
      <rPr>
        <sz val="9"/>
        <rFont val="돋움"/>
        <family val="3"/>
      </rPr>
      <t>이하</t>
    </r>
    <phoneticPr fontId="4"/>
  </si>
  <si>
    <r>
      <t>동</t>
    </r>
    <r>
      <rPr>
        <sz val="9"/>
        <rFont val="Verdana"/>
        <family val="2"/>
      </rPr>
      <t xml:space="preserve">, </t>
    </r>
    <r>
      <rPr>
        <sz val="9"/>
        <rFont val="돋움"/>
        <family val="3"/>
      </rPr>
      <t>황동</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</si>
  <si>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동</t>
    </r>
    <r>
      <rPr>
        <sz val="9"/>
        <rFont val="Verdana"/>
        <family val="2"/>
      </rPr>
      <t xml:space="preserve">, </t>
    </r>
    <r>
      <rPr>
        <sz val="9"/>
        <rFont val="돋움"/>
        <family val="3"/>
      </rPr>
      <t>고강도</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150 Kg/mm2 </t>
    </r>
    <r>
      <rPr>
        <sz val="9"/>
        <rFont val="돋움"/>
        <family val="3"/>
      </rPr>
      <t>이하</t>
    </r>
    <phoneticPr fontId="4"/>
  </si>
  <si>
    <r>
      <t>순수</t>
    </r>
    <r>
      <rPr>
        <sz val="9"/>
        <rFont val="Verdana"/>
        <family val="2"/>
      </rPr>
      <t xml:space="preserve"> </t>
    </r>
    <r>
      <rPr>
        <sz val="9"/>
        <rFont val="돋움"/>
        <family val="3"/>
      </rPr>
      <t>알루미늄</t>
    </r>
    <phoneticPr fontId="4"/>
  </si>
  <si>
    <t>Gwinty stożkowe</t>
  </si>
  <si>
    <t xml:space="preserve">Srednica freza jest podana na całym ostatnim zwoju bliska trzonko.Dlatego należy wprowadzić do programu srednicę gwintu  która  dotyczy tej części freza </t>
  </si>
  <si>
    <t>powrót</t>
  </si>
  <si>
    <r>
      <t>주철</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</si>
  <si>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t>Fraise à fileter à petit diamètre</t>
  </si>
  <si>
    <t>Filetage conique</t>
  </si>
  <si>
    <t>W tym programie zmiana połozenia narzędzi jest możliwa jedynie w wypadku rekompensowania małych wartości. Takie podejscie eliminuje problemy mogące się pojawić gdy ktoś stosuje kompensacje promienia o dużej wartości.Dlatego prosimy wybrać wielkości bliskie zera dla średnic  frezów w biblitece systemu kontrolnego</t>
  </si>
  <si>
    <t>Les conditions de coupe mentionnées sont seulement des préconisations. Il y a beaucoup de paramètres qui peuvent avoir une influence donc il est nécessaire de faire des ajustements, par exemple : stabilité de la machine, équipement de l'outillage…. Smicut ne pourra être tenu responsable pour les dommages éventuels qui peuvent survenir lors de l'utilisation du programme CNC ou des conditions de coupe recommandées par le logiciel.</t>
  </si>
  <si>
    <t>Comment utiliser le programme</t>
  </si>
  <si>
    <t xml:space="preserve">Ilość skoków(przejść), katowo (max 3) </t>
  </si>
  <si>
    <t>Ilość skoków(przejść) , osiowo</t>
  </si>
  <si>
    <t>N= obroty wrzeciona (obr/min)</t>
  </si>
  <si>
    <t>FD=posów w średnicy gwintu (mm/min)</t>
  </si>
  <si>
    <t>Fd=posów w osi gwintu (mm/min)</t>
  </si>
  <si>
    <t>T=Czas potrzebny do wyfrezowania gwintu (sekundy)</t>
  </si>
  <si>
    <t xml:space="preserve"> Program CNC dla Fanuca</t>
  </si>
  <si>
    <t xml:space="preserve"> Program CNC dla Siemensa</t>
  </si>
  <si>
    <t xml:space="preserve"> Program CNC dla Num</t>
  </si>
  <si>
    <t>Wymienione warunki skrawania są tylko propozycją do zastosowania  wartości początkowych.Jest wiele czynników mogących wpłynąć na proces więc dodatkowe ustawienie maszyny jest konieczne.SmiCut nie odpowiada za ewentualne uszkodzenia wynikłe  przy stosowaniu Programu CNC lub danych rekomendowanych przez program</t>
  </si>
  <si>
    <t>Jak używać programu</t>
  </si>
  <si>
    <t>Fraises à fileter avec une ou 2 dents par goujure</t>
  </si>
  <si>
    <t>Acier inoxydable,ferretique et austenique</t>
  </si>
  <si>
    <t>Titanium, pur</t>
  </si>
  <si>
    <t>Titanium allié, &lt; 900 N/mm2</t>
  </si>
  <si>
    <t>Titanium, allié, &lt; 1250 N/mm2</t>
  </si>
  <si>
    <t>Acier refractaire, Nickel pur &lt; 500 N/mm2</t>
  </si>
  <si>
    <t>Acier refractaire, Nickel Chrome allié &lt; 900 N/mm2</t>
  </si>
  <si>
    <r>
      <t>鈦合金</t>
    </r>
    <r>
      <rPr>
        <sz val="9"/>
        <rFont val="Verdana"/>
        <family val="2"/>
      </rPr>
      <t>, &lt; 1250 N/mm2</t>
    </r>
    <phoneticPr fontId="4"/>
  </si>
  <si>
    <r>
      <t>純鎳</t>
    </r>
    <r>
      <rPr>
        <sz val="9"/>
        <rFont val="Verdana"/>
        <family val="2"/>
      </rPr>
      <t>, &lt; 500 N/mm2</t>
    </r>
    <phoneticPr fontId="4"/>
  </si>
  <si>
    <r>
      <t>鎳合金</t>
    </r>
    <r>
      <rPr>
        <sz val="9"/>
        <rFont val="Verdana"/>
        <family val="2"/>
      </rPr>
      <t>, &lt; 900 N/mm2</t>
    </r>
    <phoneticPr fontId="4"/>
  </si>
  <si>
    <r>
      <t>鎳合金</t>
    </r>
    <r>
      <rPr>
        <sz val="9"/>
        <rFont val="Verdana"/>
        <family val="2"/>
      </rPr>
      <t>, &lt; 1250 N/mm2</t>
    </r>
    <phoneticPr fontId="4"/>
  </si>
  <si>
    <t>灰口鑄鐵, &lt; 1000 N/mm2</t>
  </si>
  <si>
    <t>Le programme produira automatiquement le filetage en plusieurs étapes si la fraise à fileter a une longueur utile plus petite que la longueur demandée.</t>
  </si>
  <si>
    <t>Fraise à fileter à inserts indexables</t>
  </si>
  <si>
    <t>Acier refractaire, Nickel Chrome allié &lt; 1200 N/mm2</t>
  </si>
  <si>
    <t>Narzędzia Niewymienione lub Specjalne</t>
  </si>
  <si>
    <t>Outils non repertoriés ou spéciaux</t>
  </si>
  <si>
    <t>acier, faible taux de carbone, &lt; 0,25% C, &lt; 400 N/mm2</t>
  </si>
  <si>
    <t>acier, faible taux de carbone, &lt; 0,55% C, &lt; 700 N/mm2</t>
  </si>
  <si>
    <t>acier, taux de carbone élévé, &lt; 0,85% C, &lt; 850 N/mm2</t>
  </si>
  <si>
    <t>acier, faible alliage, &lt; 850 N/mm2</t>
  </si>
  <si>
    <t>acier, alliage elevé, &lt; 1200 N/mm2</t>
  </si>
  <si>
    <t>acier, trempé, &lt; 45 HRC</t>
  </si>
  <si>
    <t>acier, trempé, &lt; 55 HRC</t>
  </si>
  <si>
    <t>acier, trempé, &lt; 65 HRC</t>
  </si>
  <si>
    <t>Fonte d'acier, Lamellar Graphite, &lt; 500 N/mm2</t>
  </si>
  <si>
    <t>Korygowanie średnicy gwintu</t>
  </si>
  <si>
    <t>Le diamètre de la fraise est au dessus du dernier filetage le plus près de la queue. Il est donc nécessaire d'enregister le diamètre de filetage là où cette partie de la fraise travaille.</t>
  </si>
  <si>
    <t>Retour</t>
  </si>
  <si>
    <t>Wewntrzne frezowanie gwintów na centra obróbcze</t>
  </si>
  <si>
    <t xml:space="preserve">Wewntrzne frezowanie gwintów na tokarkach </t>
  </si>
  <si>
    <t>Stal, niskowęglowa, &lt; 0,25% C, &lt; 400 N/mm2</t>
  </si>
  <si>
    <t>Stal ,średniowęglowa, &lt; 0,55% C, &lt; 700 N/mm2</t>
  </si>
  <si>
    <t>Stal, wysokowęglowa, &lt; 0,85% C, &lt; 850 N/mm2</t>
  </si>
  <si>
    <r>
      <t>高張力鎳合金，如</t>
    </r>
    <r>
      <rPr>
        <sz val="9"/>
        <rFont val="Verdana"/>
        <family val="2"/>
      </rPr>
      <t>Inconel 718</t>
    </r>
    <phoneticPr fontId="4"/>
  </si>
  <si>
    <t>石墨</t>
    <phoneticPr fontId="4"/>
  </si>
  <si>
    <r>
      <t xml:space="preserve">D = </t>
    </r>
    <r>
      <rPr>
        <sz val="9"/>
        <rFont val="細明體"/>
        <family val="3"/>
        <charset val="136"/>
      </rPr>
      <t>銑牙外徑</t>
    </r>
    <r>
      <rPr>
        <sz val="9"/>
        <rFont val="Verdana"/>
        <family val="2"/>
      </rPr>
      <t xml:space="preserve"> (mm)</t>
    </r>
    <phoneticPr fontId="4"/>
  </si>
  <si>
    <r>
      <t xml:space="preserve">P = </t>
    </r>
    <r>
      <rPr>
        <sz val="9"/>
        <rFont val="細明體"/>
        <family val="3"/>
        <charset val="136"/>
      </rPr>
      <t>牙距</t>
    </r>
    <r>
      <rPr>
        <sz val="9"/>
        <rFont val="Verdana"/>
        <family val="2"/>
      </rPr>
      <t xml:space="preserve"> (mm)</t>
    </r>
    <phoneticPr fontId="4"/>
  </si>
  <si>
    <r>
      <t xml:space="preserve">P = </t>
    </r>
    <r>
      <rPr>
        <sz val="9"/>
        <rFont val="細明體"/>
        <family val="3"/>
        <charset val="136"/>
      </rPr>
      <t>每英吋牙數</t>
    </r>
    <r>
      <rPr>
        <sz val="9"/>
        <rFont val="Verdana"/>
        <family val="2"/>
      </rPr>
      <t xml:space="preserve"> (TPI)</t>
    </r>
    <phoneticPr fontId="4"/>
  </si>
  <si>
    <r>
      <t xml:space="preserve">Fd = </t>
    </r>
    <r>
      <rPr>
        <sz val="9"/>
        <rFont val="細明體"/>
        <family val="3"/>
        <charset val="136"/>
      </rPr>
      <t>中心銑牙進給</t>
    </r>
    <r>
      <rPr>
        <sz val="9"/>
        <rFont val="Verdana"/>
        <family val="2"/>
      </rPr>
      <t xml:space="preserve"> (mm/min)</t>
    </r>
    <phoneticPr fontId="4"/>
  </si>
  <si>
    <t>Aluminium ,Niestopowe</t>
  </si>
  <si>
    <t>Aluminium ,Stopowe, &lt; 0.5% Si</t>
  </si>
  <si>
    <t>Aluminium ,Stopowe, &lt; 10% Si</t>
  </si>
  <si>
    <t>Aluminium ,Stopowe, &gt; 10% Si</t>
  </si>
  <si>
    <t>D=Średnica gwintu</t>
  </si>
  <si>
    <t>P= skok(mm)</t>
  </si>
  <si>
    <t>P= skok(TPI)</t>
  </si>
  <si>
    <t>L= Długość gwintu (mm)</t>
  </si>
  <si>
    <t>Choisissez d'abord la langue en bas à droite, faîtes votre choix dans le menu déroulant puis remplissez les quatre premières plages. En saisissant un minimum d'informations, le programme vous présente une gamme de fraises préconisées. Après avoir choisi une des fraises, les informations concernant la fraise, les conditions de coupe préconisées et le temps nécessaire à la production du filetage s'affichent. Le programme CNC complet s'affiche également. Le programme CNC peut être copié et transféré dans votre dossier CNC. Les 6 plages restantes seront à compléter uniquement si vous n'acceptez pas les recommandations.</t>
  </si>
  <si>
    <t>Rectification de l'outillage</t>
  </si>
  <si>
    <t xml:space="preserve"> Program CNC dla Fagora</t>
  </si>
  <si>
    <t xml:space="preserve"> Program CNC dla Mazaka</t>
  </si>
  <si>
    <t xml:space="preserve"> Program CNC dla Mitsubishi</t>
  </si>
  <si>
    <t>Frezowanie gwintu</t>
  </si>
  <si>
    <t>Proszę przeczytać przed urzyciem!</t>
  </si>
  <si>
    <t>Ostrzeżenie!</t>
  </si>
  <si>
    <t>Dans ce programme,  la rectification de l'outillage est uniquement utilisée pour des faibles ajustements. Cela élimine les problèmes qui peuvent apparaître lorsque l'on rectifie le rayon par petit mouvements. Choisissez donc  une valeur proche de zéro pour le diamètre de coupe dans la librairie du système de contrôle.</t>
  </si>
  <si>
    <t>Un diamètre de filetage correct dès le début</t>
  </si>
  <si>
    <r>
      <t>不鏽鋼</t>
    </r>
    <r>
      <rPr>
        <sz val="9"/>
        <rFont val="Verdana"/>
        <family val="2"/>
      </rPr>
      <t>, Austenitic</t>
    </r>
    <r>
      <rPr>
        <sz val="9"/>
        <rFont val="細明體"/>
        <family val="3"/>
        <charset val="136"/>
      </rPr>
      <t>系列，如</t>
    </r>
    <r>
      <rPr>
        <sz val="9"/>
        <rFont val="Verdana"/>
        <family val="2"/>
      </rPr>
      <t>SUS304/SUS316</t>
    </r>
    <phoneticPr fontId="4"/>
  </si>
  <si>
    <t>Fonte d'acier, Nodular Grap., malleable, &lt; 1000 N/mm2</t>
  </si>
  <si>
    <t xml:space="preserve">Acier inoxydable, </t>
  </si>
  <si>
    <t>Acier inoxydable, austenique</t>
  </si>
  <si>
    <t>T= temps nécessaire pour fraiser le filetage (seconds)</t>
  </si>
  <si>
    <t>CNC programme pour Fanuc</t>
  </si>
  <si>
    <t>CNC programme pour Siemens</t>
  </si>
  <si>
    <r>
      <t>純銅</t>
    </r>
    <r>
      <rPr>
        <sz val="9"/>
        <rFont val="Verdana"/>
        <family val="2"/>
      </rPr>
      <t>, &lt; 350 N/mm2</t>
    </r>
    <phoneticPr fontId="4"/>
  </si>
  <si>
    <t>程式會提示銑牙刀基本數據</t>
    <phoneticPr fontId="4"/>
  </si>
  <si>
    <r>
      <t>銅</t>
    </r>
    <r>
      <rPr>
        <sz val="9"/>
        <rFont val="Verdana"/>
        <family val="2"/>
      </rPr>
      <t xml:space="preserve">, </t>
    </r>
    <r>
      <rPr>
        <sz val="9"/>
        <rFont val="細明體"/>
        <family val="3"/>
        <charset val="136"/>
      </rPr>
      <t>黃銅</t>
    </r>
    <r>
      <rPr>
        <sz val="9"/>
        <rFont val="Verdana"/>
        <family val="2"/>
      </rPr>
      <t xml:space="preserve">, </t>
    </r>
    <r>
      <rPr>
        <sz val="9"/>
        <rFont val="細明體"/>
        <family val="3"/>
        <charset val="136"/>
      </rPr>
      <t>青銅</t>
    </r>
    <r>
      <rPr>
        <sz val="9"/>
        <rFont val="Verdana"/>
        <family val="2"/>
      </rPr>
      <t>, &lt; 700 N/mm2</t>
    </r>
    <phoneticPr fontId="4"/>
  </si>
  <si>
    <r>
      <t>銅</t>
    </r>
    <r>
      <rPr>
        <sz val="9"/>
        <rFont val="Verdana"/>
        <family val="2"/>
      </rPr>
      <t xml:space="preserve">, </t>
    </r>
    <r>
      <rPr>
        <sz val="9"/>
        <rFont val="細明體"/>
        <family val="3"/>
        <charset val="136"/>
      </rPr>
      <t>高張力青銅</t>
    </r>
    <r>
      <rPr>
        <sz val="9"/>
        <rFont val="Verdana"/>
        <family val="2"/>
      </rPr>
      <t>, &lt; 1500 N/mm2</t>
    </r>
    <phoneticPr fontId="4"/>
  </si>
  <si>
    <t>純鋁</t>
    <phoneticPr fontId="4"/>
  </si>
  <si>
    <r>
      <t>鋁合金</t>
    </r>
    <r>
      <rPr>
        <sz val="9"/>
        <rFont val="Verdana"/>
        <family val="2"/>
      </rPr>
      <t xml:space="preserve">, &lt; 0.5% </t>
    </r>
    <r>
      <rPr>
        <sz val="9"/>
        <rFont val="細明體"/>
        <family val="3"/>
        <charset val="136"/>
      </rPr>
      <t>矽</t>
    </r>
    <phoneticPr fontId="4"/>
  </si>
  <si>
    <t>Fonte d'acier, Lamellar Graphite, &lt;1000 N/mm2</t>
  </si>
  <si>
    <r>
      <t xml:space="preserve">Mitsubishi </t>
    </r>
    <r>
      <rPr>
        <sz val="9"/>
        <rFont val="細明體"/>
        <family val="3"/>
        <charset val="136"/>
      </rPr>
      <t>之</t>
    </r>
    <r>
      <rPr>
        <sz val="9"/>
        <rFont val="Verdana"/>
        <family val="2"/>
      </rPr>
      <t xml:space="preserve">CNC </t>
    </r>
    <r>
      <rPr>
        <sz val="9"/>
        <rFont val="細明體"/>
        <family val="3"/>
        <charset val="136"/>
      </rPr>
      <t>銑牙程式</t>
    </r>
    <phoneticPr fontId="4"/>
  </si>
  <si>
    <t>銑牙刀</t>
    <phoneticPr fontId="4"/>
  </si>
  <si>
    <t>使用前請先閱讀</t>
    <phoneticPr fontId="4"/>
  </si>
  <si>
    <t>使用車床銑內牙</t>
    <phoneticPr fontId="4"/>
  </si>
  <si>
    <r>
      <t>公制牙</t>
    </r>
    <r>
      <rPr>
        <sz val="9"/>
        <rFont val="Verdana"/>
        <family val="2"/>
      </rPr>
      <t>-M</t>
    </r>
    <phoneticPr fontId="4"/>
  </si>
  <si>
    <r>
      <t>美制牙</t>
    </r>
    <r>
      <rPr>
        <sz val="9"/>
        <rFont val="Verdana"/>
        <family val="2"/>
      </rPr>
      <t>-UN</t>
    </r>
    <phoneticPr fontId="4"/>
  </si>
  <si>
    <t>Filetage interne par interpolation sur CNC fraiseuse</t>
  </si>
  <si>
    <t>Filetage interne par interpolation sur CNC tour</t>
  </si>
  <si>
    <t>M</t>
  </si>
  <si>
    <t>UN</t>
  </si>
  <si>
    <t xml:space="preserve">G  </t>
  </si>
  <si>
    <t>BSPT</t>
  </si>
  <si>
    <t>NPT</t>
  </si>
  <si>
    <t>NPSF</t>
  </si>
  <si>
    <r>
      <t>英制直管牙</t>
    </r>
    <r>
      <rPr>
        <sz val="9"/>
        <rFont val="Verdana"/>
        <family val="2"/>
      </rPr>
      <t>-G</t>
    </r>
    <phoneticPr fontId="4"/>
  </si>
  <si>
    <r>
      <t>硬化合金鋼</t>
    </r>
    <r>
      <rPr>
        <sz val="9"/>
        <rFont val="Verdana"/>
        <family val="2"/>
      </rPr>
      <t>, &lt; 55 HRC</t>
    </r>
    <phoneticPr fontId="4"/>
  </si>
  <si>
    <r>
      <t>鋁合金</t>
    </r>
    <r>
      <rPr>
        <sz val="9"/>
        <rFont val="Verdana"/>
        <family val="2"/>
      </rPr>
      <t xml:space="preserve">, &lt; 10% </t>
    </r>
    <r>
      <rPr>
        <sz val="9"/>
        <rFont val="細明體"/>
        <family val="3"/>
        <charset val="136"/>
      </rPr>
      <t>矽</t>
    </r>
    <phoneticPr fontId="4"/>
  </si>
  <si>
    <r>
      <t>鋁合金</t>
    </r>
    <r>
      <rPr>
        <sz val="9"/>
        <rFont val="Verdana"/>
        <family val="2"/>
      </rPr>
      <t xml:space="preserve">, &gt; 10% </t>
    </r>
    <r>
      <rPr>
        <sz val="9"/>
        <rFont val="細明體"/>
        <family val="3"/>
        <charset val="136"/>
      </rPr>
      <t>矽</t>
    </r>
    <phoneticPr fontId="4"/>
  </si>
  <si>
    <t>Jos valitset vakiotyökalun yhdellä tai kahdella hampaalla,tyyppi NM,valitsee ohjelma autommaattisesti kierron joka valmistaa kierteen.</t>
  </si>
  <si>
    <r>
      <t>硬化合金鋼</t>
    </r>
    <r>
      <rPr>
        <sz val="9"/>
        <rFont val="Verdana"/>
        <family val="2"/>
      </rPr>
      <t>, &lt; 65 HRC</t>
    </r>
    <phoneticPr fontId="4"/>
  </si>
  <si>
    <r>
      <t>灰口鑄鐵</t>
    </r>
    <r>
      <rPr>
        <sz val="9"/>
        <rFont val="Verdana"/>
        <family val="2"/>
      </rPr>
      <t>, &lt; 500 N/mm2</t>
    </r>
    <phoneticPr fontId="4"/>
  </si>
  <si>
    <r>
      <t>球狀石墨鑄鐵</t>
    </r>
    <r>
      <rPr>
        <sz val="9"/>
        <rFont val="Verdana"/>
        <family val="2"/>
      </rPr>
      <t xml:space="preserve">, </t>
    </r>
    <r>
      <rPr>
        <sz val="9"/>
        <rFont val="細明體"/>
        <family val="3"/>
        <charset val="136"/>
      </rPr>
      <t>可鍛鑄鐵</t>
    </r>
    <r>
      <rPr>
        <sz val="9"/>
        <rFont val="Verdana"/>
        <family val="2"/>
      </rPr>
      <t>, &lt; 700 N/mm2</t>
    </r>
    <phoneticPr fontId="4"/>
  </si>
  <si>
    <r>
      <t>球狀石墨鑄鐵</t>
    </r>
    <r>
      <rPr>
        <sz val="9"/>
        <rFont val="Verdana"/>
        <family val="2"/>
      </rPr>
      <t xml:space="preserve">, </t>
    </r>
    <r>
      <rPr>
        <sz val="9"/>
        <rFont val="細明體"/>
        <family val="3"/>
        <charset val="136"/>
      </rPr>
      <t>可鍛鑄鐵</t>
    </r>
    <r>
      <rPr>
        <sz val="9"/>
        <rFont val="Verdana"/>
        <family val="2"/>
      </rPr>
      <t>, &lt; 1000 N/mm2</t>
    </r>
    <phoneticPr fontId="4"/>
  </si>
  <si>
    <t>Резьбовые фрезы с маленькой шейкой</t>
  </si>
  <si>
    <t>Cuivre, Bronze trempé, &lt; 1500 N/mm2</t>
  </si>
  <si>
    <t>Alluminium, non allié</t>
  </si>
  <si>
    <t>Alluminium, allié, &lt; 0,5% Si</t>
  </si>
  <si>
    <t>Alluminium, allié, &lt; 10% Si</t>
  </si>
  <si>
    <t>D= diamètre de taraudage (mm)</t>
  </si>
  <si>
    <t>P= pas (mm)</t>
  </si>
  <si>
    <t>P= pas (TPI)</t>
  </si>
  <si>
    <t>V= vitesse de coupe (m/min)</t>
  </si>
  <si>
    <t>Fz = avance /dent (mm/dent)</t>
  </si>
  <si>
    <t>Nombre de passages, radial (max 3)</t>
  </si>
  <si>
    <t>Nombre de passages, axial</t>
  </si>
  <si>
    <t>N = vitesse de broche (rpm)</t>
  </si>
  <si>
    <t>FD= avance au diamètre de filetage</t>
  </si>
  <si>
    <t>Диаметр резака больше последней полной ближайшей к валу резьбы. Поэтому необходимо зарегистрировать диаметр резьбы в том месте, где эта часть фрезы работает.</t>
  </si>
  <si>
    <t>назад</t>
  </si>
  <si>
    <t>中文繁體 (kinesiska, traditionell)</t>
  </si>
  <si>
    <t>Diametrul de taiere este mai mare decit ultimul filet complet de linga ax (corp). De aceea trebuie notat diametrul de taiere acolo unde aceasta parte a frezei lucreaza .</t>
  </si>
  <si>
    <t>inapoi</t>
  </si>
  <si>
    <t>sisäpuolinen kierrejyrsintä työstökeskuksessa</t>
  </si>
  <si>
    <t>sisäpuolinen kierrejyrsintä sorvissa pyörivillä työkaluilla</t>
  </si>
  <si>
    <t>Alumiini, ei seostettu</t>
  </si>
  <si>
    <t>Cuivre, pur, &lt; 350 N/mm2</t>
  </si>
  <si>
    <t>Cuivre, Laiton, Bronze, &lt; 700 N/mm2</t>
  </si>
  <si>
    <t>Fd= avance au centre de la fraise (mm/min)</t>
  </si>
  <si>
    <t>Правильный диаметр резьбы сразу же</t>
  </si>
  <si>
    <t>Inconelli 718</t>
  </si>
  <si>
    <t>Grafiitti</t>
  </si>
  <si>
    <t>CNC programme pour Num</t>
  </si>
  <si>
    <t>CNC programme pour Fagor</t>
  </si>
  <si>
    <t>CNC programme pour Mazak</t>
  </si>
  <si>
    <t>CNC programme pour Mitsubishi</t>
  </si>
  <si>
    <t>Fraisage de Filetage</t>
  </si>
  <si>
    <t>Merci de lire avant utilisation !</t>
  </si>
  <si>
    <t>Attention !</t>
  </si>
  <si>
    <t>較小的銑牙刀刃徑</t>
    <phoneticPr fontId="4"/>
  </si>
  <si>
    <t>錐度銑牙</t>
    <phoneticPr fontId="4"/>
  </si>
  <si>
    <t>Компенсация инструментальной оснастки</t>
  </si>
  <si>
    <r>
      <t>銑牙次數</t>
    </r>
    <r>
      <rPr>
        <sz val="9"/>
        <rFont val="Verdana"/>
        <family val="2"/>
      </rPr>
      <t xml:space="preserve">, </t>
    </r>
    <r>
      <rPr>
        <sz val="9"/>
        <rFont val="細明體"/>
        <family val="3"/>
        <charset val="136"/>
      </rPr>
      <t>軸向</t>
    </r>
    <phoneticPr fontId="4"/>
  </si>
  <si>
    <r>
      <t xml:space="preserve">N = </t>
    </r>
    <r>
      <rPr>
        <sz val="9"/>
        <rFont val="細明體"/>
        <family val="3"/>
        <charset val="136"/>
      </rPr>
      <t>轉速</t>
    </r>
    <r>
      <rPr>
        <sz val="9"/>
        <rFont val="Verdana"/>
        <family val="2"/>
      </rPr>
      <t xml:space="preserve"> (rpm)</t>
    </r>
    <phoneticPr fontId="4"/>
  </si>
  <si>
    <r>
      <t xml:space="preserve">FD = </t>
    </r>
    <r>
      <rPr>
        <sz val="9"/>
        <rFont val="細明體"/>
        <family val="3"/>
        <charset val="136"/>
      </rPr>
      <t>牙徑進給</t>
    </r>
    <r>
      <rPr>
        <sz val="9"/>
        <rFont val="Verdana"/>
        <family val="2"/>
      </rPr>
      <t xml:space="preserve"> (mm/min)</t>
    </r>
    <phoneticPr fontId="4"/>
  </si>
  <si>
    <r>
      <t>警告</t>
    </r>
    <r>
      <rPr>
        <sz val="10"/>
        <rFont val="Verdana"/>
        <family val="2"/>
      </rPr>
      <t>!</t>
    </r>
    <phoneticPr fontId="4"/>
  </si>
  <si>
    <t>如何使用本程式</t>
    <phoneticPr fontId="4"/>
  </si>
  <si>
    <t>修整切削</t>
    <phoneticPr fontId="4"/>
  </si>
  <si>
    <t>即刻校正銑牙刀刃徑</t>
    <phoneticPr fontId="4"/>
  </si>
  <si>
    <t>非程式選用刀具及特殊加工</t>
    <phoneticPr fontId="4"/>
  </si>
  <si>
    <r>
      <t>使用</t>
    </r>
    <r>
      <rPr>
        <sz val="9"/>
        <rFont val="Verdana"/>
        <family val="2"/>
      </rPr>
      <t xml:space="preserve"> CNC </t>
    </r>
    <r>
      <rPr>
        <sz val="9"/>
        <rFont val="細明體"/>
        <family val="3"/>
        <charset val="136"/>
      </rPr>
      <t>銑床銑內牙</t>
    </r>
    <phoneticPr fontId="4"/>
  </si>
  <si>
    <t>Fonte d'acier, Nodular Grap., malleable, &lt; 700 N/mm2</t>
  </si>
  <si>
    <t>Как пользоваться программой</t>
  </si>
  <si>
    <r>
      <t xml:space="preserve">L = </t>
    </r>
    <r>
      <rPr>
        <sz val="9"/>
        <rFont val="細明體"/>
        <family val="3"/>
        <charset val="136"/>
      </rPr>
      <t>銑牙深度</t>
    </r>
    <r>
      <rPr>
        <sz val="9"/>
        <rFont val="Verdana"/>
        <family val="2"/>
      </rPr>
      <t xml:space="preserve"> (mm)</t>
    </r>
    <phoneticPr fontId="4"/>
  </si>
  <si>
    <r>
      <t xml:space="preserve">d = </t>
    </r>
    <r>
      <rPr>
        <sz val="9"/>
        <rFont val="細明體"/>
        <family val="3"/>
        <charset val="136"/>
      </rPr>
      <t>銑牙刀刃外徑</t>
    </r>
    <r>
      <rPr>
        <sz val="9"/>
        <rFont val="Verdana"/>
        <family val="2"/>
      </rPr>
      <t xml:space="preserve"> (mm)</t>
    </r>
    <phoneticPr fontId="4"/>
  </si>
  <si>
    <r>
      <t xml:space="preserve">l = </t>
    </r>
    <r>
      <rPr>
        <sz val="9"/>
        <rFont val="細明體"/>
        <family val="3"/>
        <charset val="136"/>
      </rPr>
      <t>銑牙刀刃長度</t>
    </r>
    <r>
      <rPr>
        <sz val="9"/>
        <rFont val="Verdana"/>
        <family val="2"/>
      </rPr>
      <t xml:space="preserve"> (mm)</t>
    </r>
    <phoneticPr fontId="4"/>
  </si>
  <si>
    <r>
      <t xml:space="preserve">z = </t>
    </r>
    <r>
      <rPr>
        <sz val="9"/>
        <rFont val="細明體"/>
        <family val="3"/>
        <charset val="136"/>
      </rPr>
      <t>銑牙刀刃數</t>
    </r>
    <phoneticPr fontId="4"/>
  </si>
  <si>
    <r>
      <t xml:space="preserve">V = </t>
    </r>
    <r>
      <rPr>
        <sz val="9"/>
        <rFont val="細明體"/>
        <family val="3"/>
        <charset val="136"/>
      </rPr>
      <t>切削速度</t>
    </r>
    <r>
      <rPr>
        <sz val="9"/>
        <rFont val="Verdana"/>
        <family val="2"/>
      </rPr>
      <t xml:space="preserve"> (m/min)</t>
    </r>
    <phoneticPr fontId="4"/>
  </si>
  <si>
    <r>
      <t xml:space="preserve">Fz = </t>
    </r>
    <r>
      <rPr>
        <sz val="9"/>
        <rFont val="細明體"/>
        <family val="3"/>
        <charset val="136"/>
      </rPr>
      <t>每牙進給量</t>
    </r>
    <r>
      <rPr>
        <sz val="9"/>
        <rFont val="Verdana"/>
        <family val="2"/>
      </rPr>
      <t xml:space="preserve"> (mm/tooth)</t>
    </r>
    <phoneticPr fontId="4"/>
  </si>
  <si>
    <r>
      <t>銑牙次數</t>
    </r>
    <r>
      <rPr>
        <sz val="9"/>
        <rFont val="Verdana"/>
        <family val="2"/>
      </rPr>
      <t xml:space="preserve">, </t>
    </r>
    <r>
      <rPr>
        <sz val="9"/>
        <rFont val="細明體"/>
        <family val="3"/>
        <charset val="136"/>
      </rPr>
      <t>徑向</t>
    </r>
    <r>
      <rPr>
        <sz val="9"/>
        <rFont val="Verdana"/>
        <family val="2"/>
      </rPr>
      <t xml:space="preserve"> (max 3)</t>
    </r>
    <phoneticPr fontId="4"/>
  </si>
  <si>
    <r>
      <t>T =</t>
    </r>
    <r>
      <rPr>
        <sz val="9"/>
        <rFont val="細明體"/>
        <family val="3"/>
        <charset val="136"/>
      </rPr>
      <t>完成銑牙時間</t>
    </r>
    <r>
      <rPr>
        <sz val="9"/>
        <rFont val="Verdana"/>
        <family val="2"/>
      </rPr>
      <t xml:space="preserve"> (seconds)</t>
    </r>
    <phoneticPr fontId="4"/>
  </si>
  <si>
    <r>
      <t xml:space="preserve">Fanuc </t>
    </r>
    <r>
      <rPr>
        <sz val="9"/>
        <rFont val="細明體"/>
        <family val="3"/>
        <charset val="136"/>
      </rPr>
      <t>之</t>
    </r>
    <r>
      <rPr>
        <sz val="9"/>
        <rFont val="Verdana"/>
        <family val="2"/>
      </rPr>
      <t xml:space="preserve">CNC </t>
    </r>
    <r>
      <rPr>
        <sz val="9"/>
        <rFont val="細明體"/>
        <family val="3"/>
        <charset val="136"/>
      </rPr>
      <t>銑牙程式</t>
    </r>
    <phoneticPr fontId="4"/>
  </si>
  <si>
    <r>
      <t xml:space="preserve">Heidenhein </t>
    </r>
    <r>
      <rPr>
        <sz val="9"/>
        <rFont val="細明體"/>
        <family val="3"/>
        <charset val="136"/>
      </rPr>
      <t>之</t>
    </r>
    <r>
      <rPr>
        <sz val="9"/>
        <rFont val="Verdana"/>
        <family val="2"/>
      </rPr>
      <t xml:space="preserve">CNC </t>
    </r>
    <r>
      <rPr>
        <sz val="9"/>
        <rFont val="細明體"/>
        <family val="3"/>
        <charset val="136"/>
      </rPr>
      <t>銑牙程式</t>
    </r>
    <phoneticPr fontId="4"/>
  </si>
  <si>
    <r>
      <t xml:space="preserve">Siemens </t>
    </r>
    <r>
      <rPr>
        <sz val="9"/>
        <rFont val="細明體"/>
        <family val="3"/>
        <charset val="136"/>
      </rPr>
      <t>之</t>
    </r>
    <r>
      <rPr>
        <sz val="9"/>
        <rFont val="Verdana"/>
        <family val="2"/>
      </rPr>
      <t xml:space="preserve">CNC </t>
    </r>
    <r>
      <rPr>
        <sz val="9"/>
        <rFont val="細明體"/>
        <family val="3"/>
        <charset val="136"/>
      </rPr>
      <t>銑牙程式</t>
    </r>
    <phoneticPr fontId="4"/>
  </si>
  <si>
    <r>
      <t xml:space="preserve">Num </t>
    </r>
    <r>
      <rPr>
        <sz val="9"/>
        <rFont val="細明體"/>
        <family val="3"/>
        <charset val="136"/>
      </rPr>
      <t>之</t>
    </r>
    <r>
      <rPr>
        <sz val="9"/>
        <rFont val="Verdana"/>
        <family val="2"/>
      </rPr>
      <t xml:space="preserve">CNC </t>
    </r>
    <r>
      <rPr>
        <sz val="9"/>
        <rFont val="細明體"/>
        <family val="3"/>
        <charset val="136"/>
      </rPr>
      <t>銑牙程式</t>
    </r>
    <phoneticPr fontId="4"/>
  </si>
  <si>
    <r>
      <t xml:space="preserve">Fagor </t>
    </r>
    <r>
      <rPr>
        <sz val="9"/>
        <rFont val="細明體"/>
        <family val="3"/>
        <charset val="136"/>
      </rPr>
      <t>之</t>
    </r>
    <r>
      <rPr>
        <sz val="9"/>
        <rFont val="Verdana"/>
        <family val="2"/>
      </rPr>
      <t xml:space="preserve">CNC </t>
    </r>
    <r>
      <rPr>
        <sz val="9"/>
        <rFont val="細明體"/>
        <family val="3"/>
        <charset val="136"/>
      </rPr>
      <t>銑牙程式</t>
    </r>
    <phoneticPr fontId="4"/>
  </si>
  <si>
    <r>
      <t xml:space="preserve">Mazak </t>
    </r>
    <r>
      <rPr>
        <sz val="9"/>
        <rFont val="細明體"/>
        <family val="3"/>
        <charset val="136"/>
      </rPr>
      <t>之</t>
    </r>
    <r>
      <rPr>
        <sz val="9"/>
        <rFont val="Verdana"/>
        <family val="2"/>
      </rPr>
      <t xml:space="preserve">CNC </t>
    </r>
    <r>
      <rPr>
        <sz val="9"/>
        <rFont val="細明體"/>
        <family val="3"/>
        <charset val="136"/>
      </rPr>
      <t>銑牙程式</t>
    </r>
    <phoneticPr fontId="4"/>
  </si>
  <si>
    <t>Не включенные в списки и специальные инструменты</t>
  </si>
  <si>
    <r>
      <t>英制斜管牙</t>
    </r>
    <r>
      <rPr>
        <sz val="9"/>
        <rFont val="Verdana"/>
        <family val="2"/>
      </rPr>
      <t>-BSPT</t>
    </r>
    <phoneticPr fontId="4"/>
  </si>
  <si>
    <r>
      <t>美制斜管牙</t>
    </r>
    <r>
      <rPr>
        <sz val="9"/>
        <rFont val="Verdana"/>
        <family val="2"/>
      </rPr>
      <t>-NPT</t>
    </r>
    <phoneticPr fontId="4"/>
  </si>
  <si>
    <r>
      <t>美制斜管牙</t>
    </r>
    <r>
      <rPr>
        <sz val="9"/>
        <rFont val="Verdana"/>
        <family val="2"/>
      </rPr>
      <t>-NPTF</t>
    </r>
    <phoneticPr fontId="4"/>
  </si>
  <si>
    <r>
      <t>美制斜管牙</t>
    </r>
    <r>
      <rPr>
        <sz val="9"/>
        <rFont val="Verdana"/>
        <family val="2"/>
      </rPr>
      <t>-NPSF</t>
    </r>
    <phoneticPr fontId="4"/>
  </si>
  <si>
    <r>
      <t>鋼管牙</t>
    </r>
    <r>
      <rPr>
        <sz val="9"/>
        <rFont val="Verdana"/>
        <family val="2"/>
      </rPr>
      <t>-PG</t>
    </r>
    <phoneticPr fontId="4"/>
  </si>
  <si>
    <r>
      <t>低碳鋼</t>
    </r>
    <r>
      <rPr>
        <sz val="9"/>
        <rFont val="Verdana"/>
        <family val="2"/>
      </rPr>
      <t xml:space="preserve">, &lt; 0,25% </t>
    </r>
    <r>
      <rPr>
        <sz val="9"/>
        <rFont val="細明體"/>
        <family val="3"/>
        <charset val="136"/>
      </rPr>
      <t>碳</t>
    </r>
    <r>
      <rPr>
        <sz val="9"/>
        <rFont val="Verdana"/>
        <family val="2"/>
      </rPr>
      <t>, &lt; 400 N/mm2</t>
    </r>
    <phoneticPr fontId="4"/>
  </si>
  <si>
    <r>
      <t>中碳鋼</t>
    </r>
    <r>
      <rPr>
        <sz val="9"/>
        <rFont val="Verdana"/>
        <family val="2"/>
      </rPr>
      <t xml:space="preserve">, &lt; 0,55% </t>
    </r>
    <r>
      <rPr>
        <sz val="9"/>
        <rFont val="細明體"/>
        <family val="3"/>
        <charset val="136"/>
      </rPr>
      <t>碳</t>
    </r>
    <r>
      <rPr>
        <sz val="9"/>
        <rFont val="Verdana"/>
        <family val="2"/>
      </rPr>
      <t>, &lt; 700 N/mm2</t>
    </r>
    <phoneticPr fontId="4"/>
  </si>
  <si>
    <r>
      <t>高碳鋼</t>
    </r>
    <r>
      <rPr>
        <sz val="9"/>
        <rFont val="Verdana"/>
        <family val="2"/>
      </rPr>
      <t xml:space="preserve">, &lt; 0,85% </t>
    </r>
    <r>
      <rPr>
        <sz val="9"/>
        <rFont val="細明體"/>
        <family val="3"/>
        <charset val="136"/>
      </rPr>
      <t>碳</t>
    </r>
    <r>
      <rPr>
        <sz val="9"/>
        <rFont val="Verdana"/>
        <family val="2"/>
      </rPr>
      <t>, &lt; 850 N/mm2</t>
    </r>
    <phoneticPr fontId="4"/>
  </si>
  <si>
    <r>
      <t>低合金鋼</t>
    </r>
    <r>
      <rPr>
        <sz val="9"/>
        <rFont val="Verdana"/>
        <family val="2"/>
      </rPr>
      <t>, &lt; 850 N/mm2</t>
    </r>
    <phoneticPr fontId="4"/>
  </si>
  <si>
    <r>
      <t>高合金鋼</t>
    </r>
    <r>
      <rPr>
        <sz val="9"/>
        <rFont val="Verdana"/>
        <family val="2"/>
      </rPr>
      <t>, &lt; 1200 N/mm2</t>
    </r>
    <phoneticPr fontId="4"/>
  </si>
  <si>
    <r>
      <t>硬化合金鋼</t>
    </r>
    <r>
      <rPr>
        <sz val="9"/>
        <rFont val="Verdana"/>
        <family val="2"/>
      </rPr>
      <t>, &lt; 45 HRC</t>
    </r>
    <phoneticPr fontId="4"/>
  </si>
  <si>
    <t>Fonta , Grafit Nodular ; Maleabila ; &lt; 700 N/mm2</t>
  </si>
  <si>
    <t>Fonta , Grafit Nodular ; Maleabila ; &lt; 1000 N/mm2</t>
  </si>
  <si>
    <t xml:space="preserve">Otel Inoxidabil ; Prelucrabil </t>
  </si>
  <si>
    <t>Резьбовые фрезы с одной или двумя зубцами по бороздкам.</t>
  </si>
  <si>
    <r>
      <t>不鏽鋼</t>
    </r>
    <r>
      <rPr>
        <sz val="9"/>
        <rFont val="Verdana"/>
        <family val="2"/>
      </rPr>
      <t>, Ferritic</t>
    </r>
    <r>
      <rPr>
        <sz val="9"/>
        <rFont val="細明體"/>
        <family val="3"/>
        <charset val="136"/>
      </rPr>
      <t>系列，如</t>
    </r>
    <r>
      <rPr>
        <sz val="9"/>
        <rFont val="Verdana"/>
        <family val="2"/>
      </rPr>
      <t>SUS430/SUS434</t>
    </r>
    <phoneticPr fontId="4"/>
  </si>
  <si>
    <r>
      <t>不鏽鋼</t>
    </r>
    <r>
      <rPr>
        <sz val="9"/>
        <rFont val="Verdana"/>
        <family val="2"/>
      </rPr>
      <t>, Martensitic</t>
    </r>
    <r>
      <rPr>
        <sz val="9"/>
        <rFont val="細明體"/>
        <family val="3"/>
        <charset val="136"/>
      </rPr>
      <t>系列，如</t>
    </r>
    <r>
      <rPr>
        <sz val="9"/>
        <rFont val="Verdana"/>
        <family val="2"/>
      </rPr>
      <t>SUS420/SUS440</t>
    </r>
    <phoneticPr fontId="4"/>
  </si>
  <si>
    <r>
      <t>純鈦</t>
    </r>
    <r>
      <rPr>
        <sz val="9"/>
        <rFont val="Verdana"/>
        <family val="2"/>
      </rPr>
      <t>, &lt; 700 N/mm2</t>
    </r>
    <phoneticPr fontId="4"/>
  </si>
  <si>
    <r>
      <t>鈦合金</t>
    </r>
    <r>
      <rPr>
        <sz val="9"/>
        <rFont val="Verdana"/>
        <family val="2"/>
      </rPr>
      <t>, &lt; 900 N/mm2</t>
    </r>
    <phoneticPr fontId="4"/>
  </si>
  <si>
    <t>takaisin</t>
  </si>
  <si>
    <t>Kartio kierteet</t>
  </si>
  <si>
    <t>Vaihtopalajyrsimet</t>
  </si>
  <si>
    <t>Midja työkalu</t>
  </si>
  <si>
    <t>Työkalu yhdellä tai kahdella hampaalla axiaali</t>
  </si>
  <si>
    <t>Erikoistyökalu</t>
  </si>
  <si>
    <t>Oikea kierteenhalkaisia suoraan</t>
  </si>
  <si>
    <t>Työkalukompensointi</t>
  </si>
  <si>
    <t>Внимание!</t>
  </si>
  <si>
    <t>L= longueur de filetage (mm)</t>
  </si>
  <si>
    <t>d = diamètre de la fraise</t>
  </si>
  <si>
    <t>l =  longueur de coupe</t>
  </si>
  <si>
    <t>z= nombre de dents</t>
  </si>
  <si>
    <t>T= timp de frezare a filetului ( sec. )</t>
  </si>
  <si>
    <t>Program CNC pentru Fanuc</t>
  </si>
  <si>
    <t>以每刃一或二牙銑牙</t>
    <phoneticPr fontId="4"/>
  </si>
  <si>
    <t>Program CNC pentru Siemens</t>
  </si>
  <si>
    <t>CNC ohjelma Fanukille</t>
  </si>
  <si>
    <t>CNC ohjelma Siemensille</t>
  </si>
  <si>
    <t>CNC ohjelma Nunnille</t>
  </si>
  <si>
    <t>CNC ohjelma Fagorille</t>
  </si>
  <si>
    <t>В данной программе компенсация инструментальной оснастки используется только для небольшой регулировки. Это исключит проблемы, которые могут возникнуть при компенсации радиуса в коротких движениях. Поэтому выбирайте значение близкое к нулю для диаметра резака в библиотеке инструментов системы управления.</t>
  </si>
  <si>
    <t>Выберите язык, в правом нижнем углу сделайте выбор в меню и заполните первые четыре квадрата. При заполнении достаточного количества информации программа представит рекомендуемый ряд фрез. Когда вы выберете одну из фрез, будет показана информация о фрезе, включая рекомендуемые данные резки и время, требуемое для нанесения резьбы. Также будет показана полная программа ЧПУ. Программа ЧПУ может быть скопирована в ваш файл ЧПУ. Остальные шесть квадратов необходимо заполнять только в случае, если вы не согласны с рекомендациями.</t>
  </si>
  <si>
    <t>Tässä ohjelmassa käytetään kompensointia vain pieniin säätöhin. Se eliminoi ongelmat joita voi syntyä kun käyttää sädekompensointia. Anna arvo lähellä nollaa jyrsimen halkaisia työkalukirjastosta ohjausjärjestelmästä.</t>
  </si>
  <si>
    <t>Scule speciale si nelistate</t>
  </si>
  <si>
    <t>BSPT - Filet pentru tevi BSPT</t>
  </si>
  <si>
    <t xml:space="preserve">NPT - Filet pentru tevi NPPT </t>
  </si>
  <si>
    <t>Freze de filetat cu unul sau doi dinti</t>
  </si>
  <si>
    <t xml:space="preserve">NPTF - Dryseal, Filet pentru tevi NPTF </t>
  </si>
  <si>
    <t>Cutite de filetat cu placute amovibile</t>
  </si>
  <si>
    <t>Filete conice</t>
  </si>
  <si>
    <t>Fonta , Grafit Lamelar ; &lt; 1000 N/mm2</t>
  </si>
  <si>
    <t>Программа автоматически нанесет резьбу в несколько приемов, если у резьбовой фрезы режущая длина короче требуемой длины.</t>
  </si>
  <si>
    <t>Резаки резьбофрезирования с многогранными режущими пластинами</t>
  </si>
  <si>
    <t>Коническая резьба</t>
  </si>
  <si>
    <t>Jos työkalussa on lyhyempi kierre kun kierteen pituus valitsee ohjelma autommaattisesti tarvittavan määrän axiaali syöttöjä.</t>
  </si>
  <si>
    <t>Herramientas especiales</t>
  </si>
  <si>
    <t>Program CNC pentru Num</t>
  </si>
  <si>
    <t>Verktyg med en eller två tänder (axiellt)</t>
  </si>
  <si>
    <t>中文繁體</t>
  </si>
  <si>
    <t>Program CNC pentru Fagor</t>
  </si>
  <si>
    <t>Program CNC pentru Mazak</t>
  </si>
  <si>
    <t>Program CNC pentru Mitsubishi</t>
  </si>
  <si>
    <t>Frezarea Filetului</t>
  </si>
  <si>
    <t>Va rugam, cititi inaintea utilizarii</t>
  </si>
  <si>
    <t>Atentie !</t>
  </si>
  <si>
    <t>Utilizarea programului</t>
  </si>
  <si>
    <t>Stainless steel, Ferritic and Austenitic</t>
  </si>
  <si>
    <t>Bild</t>
  </si>
  <si>
    <t>Ant. Pass</t>
  </si>
  <si>
    <t>(Fasning)</t>
  </si>
  <si>
    <t xml:space="preserve"> G40</t>
  </si>
  <si>
    <t>K</t>
  </si>
  <si>
    <t>S</t>
  </si>
  <si>
    <t>G00</t>
  </si>
  <si>
    <t xml:space="preserve"> G91</t>
  </si>
  <si>
    <t xml:space="preserve"> Z</t>
  </si>
  <si>
    <t>G01</t>
  </si>
  <si>
    <t xml:space="preserve"> G41</t>
  </si>
  <si>
    <t xml:space="preserve"> X</t>
  </si>
  <si>
    <t>G03</t>
  </si>
  <si>
    <t xml:space="preserve"> DR+</t>
  </si>
  <si>
    <t xml:space="preserve"> R0</t>
  </si>
  <si>
    <t xml:space="preserve"> M3</t>
  </si>
  <si>
    <t>. J</t>
  </si>
  <si>
    <t>. Y</t>
  </si>
  <si>
    <t>. Z</t>
  </si>
  <si>
    <t>Styrsystem</t>
  </si>
  <si>
    <t>Nickel, legiert, &lt; 1250 N/mm2</t>
  </si>
  <si>
    <t>Number of passes, radial (max 3)</t>
  </si>
  <si>
    <t>Number of passes, axial</t>
  </si>
  <si>
    <t>BSPT - konisk rörgänga</t>
  </si>
  <si>
    <t>NPT - konisk rörgänga</t>
  </si>
  <si>
    <t>NPTF - dryseal, konisk rörgänga</t>
  </si>
  <si>
    <t>CNC ohjema Masakille</t>
  </si>
  <si>
    <t>CNC ohjelma Mitsubisille</t>
  </si>
  <si>
    <t>Kierrejyrsintä</t>
  </si>
  <si>
    <t>Lue ennen käyttöä</t>
  </si>
  <si>
    <t>Kuinka Käyttää ohjelmaa</t>
  </si>
  <si>
    <t>Varoitus!</t>
  </si>
  <si>
    <t xml:space="preserve">NPSF - Filet pentru tevi </t>
  </si>
  <si>
    <t>PG - Filet PG</t>
  </si>
  <si>
    <t xml:space="preserve">Alegeti limba in care doriti sa lucrati din meniul din dreapta, alegeti parametrii doriti si completati primele patru cimpuri. Completind suficient de multe informatii, programul va oferi o gama recomandata de freze. Dupa ce ati ales o anumita freza, veti primi informatii detaliate despre aceasta, inclusiv regimul de lucru recomandat si durata de filetare. Veti primi si programul CNC complet. Programul CNC poate fi copiat si stocat in fisierul CNC al masinii dvs. Veti completa celelalte sase cimpuri numai daca nu acceptati gama recomandata. </t>
  </si>
  <si>
    <t>Compensare pentru prelucrare</t>
  </si>
  <si>
    <t>Otel cu continut ridicat de carbon ; &lt; 0,85% C, &lt; 850 N/mm2</t>
  </si>
  <si>
    <t>Otel slab aliat ; &lt; 850 N/mm2</t>
  </si>
  <si>
    <t>Otel inalt aliat ; &lt; 1200 N/mm2</t>
  </si>
  <si>
    <t>Otel calit ; &lt; 45 HRC</t>
  </si>
  <si>
    <t>Otel calit ; &lt; 55 HRC</t>
  </si>
  <si>
    <t>Otel calit ; &lt; 65 HRC</t>
  </si>
  <si>
    <t>Fonta , Grafit Lamelar ; &lt; 500 N/mm2</t>
  </si>
  <si>
    <t>filete interioare - frezate pe centre de prelucrat</t>
  </si>
  <si>
    <t>filete interioare - frezate pe strung - scula antrenata</t>
  </si>
  <si>
    <t xml:space="preserve">Num </t>
  </si>
  <si>
    <t>UN - filet UN</t>
  </si>
  <si>
    <t>Aluminium, legiert, &gt; 10% Si</t>
  </si>
  <si>
    <t>Graphit</t>
  </si>
  <si>
    <t>M - Metrisch</t>
  </si>
  <si>
    <t>NPSF - Rohrgewinde</t>
  </si>
  <si>
    <t>NPSF - Pipe Thread</t>
  </si>
  <si>
    <t>L = Gewindelänge (mm)</t>
  </si>
  <si>
    <t>Tel +46 240 182 30</t>
  </si>
  <si>
    <t>Deutsch</t>
  </si>
  <si>
    <t>English</t>
  </si>
  <si>
    <t>Aluminium, Alloyed, &gt; 10% Si</t>
  </si>
  <si>
    <t>Inconel 718</t>
  </si>
  <si>
    <t>Nichel , Aliat ; &lt; 1250 N/mm2</t>
  </si>
  <si>
    <t>Cupru , Nealiat ; &lt; 350 N/mm2</t>
  </si>
  <si>
    <t>Stainless steel, Austenitic</t>
  </si>
  <si>
    <t>Aluminiu Aliat ; &lt; 0.5% Si</t>
  </si>
  <si>
    <t>Aluminiu Aliat ; &lt; 10% Si</t>
  </si>
  <si>
    <t>Aluminiu Aliat ; &gt; 10% Si</t>
  </si>
  <si>
    <t>INCONEL 718</t>
  </si>
  <si>
    <t>D = diametrul filetului (mm)</t>
  </si>
  <si>
    <t>Freze de filetat scurte</t>
  </si>
  <si>
    <t>Programul va genera automat filetul in citeva etape, daca freza are lungimea de taiere mai mica decit lungimea ceruta.</t>
  </si>
  <si>
    <t>Otel Inoxidabil ; Feritic si Austenitic</t>
  </si>
  <si>
    <t>Titan , Nealiat ; &lt; 700 N/mm2</t>
  </si>
  <si>
    <t>P = pasul (TPI)</t>
  </si>
  <si>
    <t>L = lungimea filetului (mm)</t>
  </si>
  <si>
    <t>Ruostumaton, automaattiteräs</t>
  </si>
  <si>
    <t>CNC program for Mitsubishi</t>
  </si>
  <si>
    <t>Programnr.</t>
  </si>
  <si>
    <t>Titan , Aliat ; &lt; 900 N/mm2</t>
  </si>
  <si>
    <t>Titan , Aliat ; &lt; 1250 N/mm2</t>
  </si>
  <si>
    <t>Nichel , Nealiat ; &lt; 500 N/mm2</t>
  </si>
  <si>
    <t>Nichel , Aliat ; &lt; 900 N/mm2</t>
  </si>
  <si>
    <t>V = viteza de taiere (m/min)</t>
  </si>
  <si>
    <t>Titanium, Alloyed, &lt; 900 N/mm2</t>
  </si>
  <si>
    <t>G12.1</t>
  </si>
  <si>
    <t>Stainless steel, Free Machining</t>
  </si>
  <si>
    <t>Internal Thread Milling in Lathe with Live Tool</t>
  </si>
  <si>
    <t>Fz = avansul / dinte (mm/dinte)</t>
  </si>
  <si>
    <t>Numarul de treceri radiale</t>
  </si>
  <si>
    <t xml:space="preserve">Numarul de treceri axiale </t>
  </si>
  <si>
    <t>N = turatia (axul principal rpm)</t>
  </si>
  <si>
    <t xml:space="preserve">FD = avans - la diam.filetului (mm/min) </t>
  </si>
  <si>
    <t>Fd = avans la centrul frezei (mm/min)</t>
  </si>
  <si>
    <t>Koniska gängor</t>
  </si>
  <si>
    <t>Acero, templado, &lt; 55 HRC</t>
  </si>
  <si>
    <t>Stål, medel kolhalt, &lt; 0,55% C, &lt; 700 N/mm2</t>
  </si>
  <si>
    <t>Mitsubishi</t>
  </si>
  <si>
    <t>UN - Unified</t>
  </si>
  <si>
    <t>V</t>
  </si>
  <si>
    <t>F1</t>
  </si>
  <si>
    <t>Pass, radiellt</t>
  </si>
  <si>
    <t>l / L</t>
  </si>
  <si>
    <t>F2a</t>
  </si>
  <si>
    <t>F1*F2*F3</t>
  </si>
  <si>
    <t>Fz</t>
  </si>
  <si>
    <t>B / d</t>
  </si>
  <si>
    <t>H / d</t>
  </si>
  <si>
    <t>PG - Pansarrörsgänga</t>
  </si>
  <si>
    <t>Steel, Hardened, &lt; 65 HRC</t>
  </si>
  <si>
    <t>D = gängans diameter (mm)</t>
  </si>
  <si>
    <t>Otel cu continut mic de carbon ; &lt; 0,25% C, &lt; 400 N/mm2</t>
  </si>
  <si>
    <t>Otel cu continut mediu de carbon ; &lt; 0,55% C, &lt; 700 N/mm2</t>
  </si>
  <si>
    <t>Eesti</t>
  </si>
  <si>
    <t>Dansk</t>
  </si>
  <si>
    <t>Suomi</t>
  </si>
  <si>
    <t>Fräsens skärdiameter som anges är vid gängan närmast skaftet. Därför måste gängans diameter som anges vara där denna del av verktyget går i ingrepp.</t>
  </si>
  <si>
    <t>Warnung!</t>
  </si>
  <si>
    <t>The cutter diameter is over the last full thread closest to the shaft. It is therefore necessary to register the thread diameter where this part of the milling cutter is working.</t>
  </si>
  <si>
    <t>Wenn das Werkzeug eine kürzere Schneidelänge als Gewindelänge hat, wird das Programm das Gewinde automatisch die erforderliche Anzahl axiale Durchgänge schneiden.</t>
  </si>
  <si>
    <t>z = Anzahl Schneiden</t>
  </si>
  <si>
    <t>z = number of flutes</t>
  </si>
  <si>
    <t>Nederlands</t>
  </si>
  <si>
    <t>Português</t>
  </si>
  <si>
    <t>Français</t>
  </si>
  <si>
    <t>Italiano</t>
  </si>
  <si>
    <t>Norsk</t>
  </si>
  <si>
    <t>Polski</t>
  </si>
  <si>
    <t>Warning!</t>
  </si>
  <si>
    <t>P = stigning (mm)</t>
  </si>
  <si>
    <t>Nickel, unlegiert, &lt; 500 N/mm2</t>
  </si>
  <si>
    <t>In acest program, compensarea pentru prelucrare se utilizeaza doar pentru mici reglaje. Aceasta elimina problemele care pot sa apara la utilizarea compensarii de raza la deplasari mici. Din baza de date a sistemului de comanda, alegeti o valoare apropiata de zero pentru diametrul de taiere.</t>
  </si>
  <si>
    <t>Corectarea imediata a diametrului de filetare</t>
  </si>
  <si>
    <t>Ant. hela tänd.</t>
  </si>
  <si>
    <t>10021, 2 pass, konisk, Fanuc</t>
  </si>
  <si>
    <t>V = Schnittgeschwindigkeit (m/min)</t>
  </si>
  <si>
    <t>M - Metrisk</t>
  </si>
  <si>
    <t>Русский</t>
  </si>
  <si>
    <t>G13.1</t>
  </si>
  <si>
    <t>CNC program for Siemens</t>
  </si>
  <si>
    <t>l = longitud del corte (mm)</t>
  </si>
  <si>
    <t>M, UN, G, BSPT, PG</t>
  </si>
  <si>
    <t>NPT, NPTF, NPSF</t>
  </si>
  <si>
    <t>Antal tänder</t>
  </si>
  <si>
    <t>FD = avance en Ø de la rosca (mm/min)</t>
  </si>
  <si>
    <t>Acero, carbono alto, &lt; 0,85% C, &lt; 850 N/mm2</t>
  </si>
  <si>
    <t>Acero, aleado bajo, &lt; 850 N/mm2</t>
  </si>
  <si>
    <t>Nummer</t>
  </si>
  <si>
    <t>P = pasul (mm)</t>
  </si>
  <si>
    <t>Cupru, Alama, Bronz ; &lt; 700 N/mm2</t>
  </si>
  <si>
    <t>Cupru, Bronz Dur ; &lt; 1500 N/mm2</t>
  </si>
  <si>
    <t xml:space="preserve">Aluminiu Nealiat </t>
  </si>
  <si>
    <t>Otel Inoxidabil ; Austenitic</t>
  </si>
  <si>
    <t>D = Gewinde-Durchmesser (mm)</t>
  </si>
  <si>
    <t>z = número de labios</t>
  </si>
  <si>
    <t>Nickel, olegerat, &lt; 500 N/mm2</t>
  </si>
  <si>
    <t>Steel, Low Carbon, &lt; 0,25% C, &lt; 400 N/mm2</t>
  </si>
  <si>
    <t>Cast iron, Nodular Grap., Malleable, &lt; 1000 N/mm2</t>
  </si>
  <si>
    <t>31, 3 pass Fanuc</t>
  </si>
  <si>
    <t>Nickel, Alloyed, &lt; 1250 N/mm2</t>
  </si>
  <si>
    <t>Copper, Unalloyed, &lt; 350 N/mm2</t>
  </si>
  <si>
    <t>Titanium, Alloyed, &lt; 1250 N/mm2</t>
  </si>
  <si>
    <t>Gjutjärn, segjärn, aducergods, &lt; 1000 N/mm2</t>
  </si>
  <si>
    <t>Rostfria automatstål</t>
  </si>
  <si>
    <t>Rostfria stål, austenitiska</t>
  </si>
  <si>
    <t>Rostfria stål, ferritaustenitiska</t>
  </si>
  <si>
    <t>1011, 1 pass, microfräsar, Fanuc</t>
  </si>
  <si>
    <t>Copper, Brass, Bronze, &lt; 700 N/mm2</t>
  </si>
  <si>
    <t>Specialverktyg</t>
  </si>
  <si>
    <t>Siemens</t>
  </si>
  <si>
    <t>Num</t>
  </si>
  <si>
    <t>Fagor</t>
  </si>
  <si>
    <t>Mazak</t>
  </si>
  <si>
    <t>Titanium, Unalloyed, &lt; 700 N/mm2</t>
  </si>
  <si>
    <t>CNC program for Mazak</t>
  </si>
  <si>
    <t>Titanio, aleado, &lt; 900 N/mm2</t>
  </si>
  <si>
    <t>Titanio, aleado, &lt; 1250 N/mm2</t>
  </si>
  <si>
    <t>Níquel, aleado, &lt; 1250 N/mm2</t>
  </si>
  <si>
    <t>Koppar, brons, hög brottstyrka, &lt; 1500 N/mm2</t>
  </si>
  <si>
    <t>Koppar, mässing, brons, &lt; 700 N/mm2</t>
  </si>
  <si>
    <t>Compensación de la herramienta</t>
  </si>
  <si>
    <t>Acero, templado, &lt; 65 HRC</t>
  </si>
  <si>
    <t>Verktygskompensering</t>
  </si>
  <si>
    <t>L = gängans längd (mm)</t>
  </si>
  <si>
    <t>Stål, låg kolhalt, &lt; 0,25% C, &lt; 400 N/mm2</t>
  </si>
  <si>
    <t>Koppar, olegerat, &lt; 350 N/mm2</t>
  </si>
  <si>
    <t>#1=</t>
  </si>
  <si>
    <t>#2=0</t>
  </si>
  <si>
    <t>d = diametrul sculei (mm)</t>
  </si>
  <si>
    <t>l = lungimea muchiei taietoare (mm)</t>
  </si>
  <si>
    <t>z = numarul de canale</t>
  </si>
  <si>
    <t>NPTF - dryseal, konische Rohrgewinde</t>
  </si>
  <si>
    <t>BSPT - konische Rohrgewinde</t>
  </si>
  <si>
    <t>BSPT - rosca de tubo cónica</t>
  </si>
  <si>
    <t>NPT - rosca de tubo cónica</t>
  </si>
  <si>
    <t>BSPT - Tapered Pipe Thread</t>
  </si>
  <si>
    <t>NPT - Tapered Pipe Thread</t>
  </si>
  <si>
    <t>NPTF - Dryseal, Tapered Pipe Thread</t>
  </si>
  <si>
    <t>Rätt gängdiameter direkt</t>
  </si>
  <si>
    <t>Inoxidable, ferrítico y austenítico</t>
  </si>
  <si>
    <t>Titanio, no aleado, &lt; 700 N/mm2</t>
  </si>
  <si>
    <t>Internal Thread Milling in Machining Center</t>
  </si>
  <si>
    <t>programa CNC para Mitsubishi</t>
  </si>
  <si>
    <t>Níquel, no aleado, &lt; 500 N/mm2</t>
  </si>
  <si>
    <t>Níquel, aleado, &lt; 900 N/mm2</t>
  </si>
  <si>
    <t>FD = Vorschub am Gewinde Ø (mm/min)</t>
  </si>
  <si>
    <t>d = fräsens skärdiameter (mm)</t>
  </si>
  <si>
    <t>programa CNC para Fanuc</t>
  </si>
  <si>
    <t>Fz = Vorschub/Schneide (mm/Schneide)</t>
  </si>
  <si>
    <t>P = stigning (TPI)</t>
  </si>
  <si>
    <t>Herramientas con plaquitas</t>
  </si>
  <si>
    <t>V = cutting speed (m/min)</t>
  </si>
  <si>
    <t>Steel, High Carbon, &lt; 0,85% C, &lt; 850 N/mm2</t>
  </si>
  <si>
    <t>F3</t>
  </si>
  <si>
    <t>Kupfer, unlegiert, &lt; 350 N/mm2</t>
  </si>
  <si>
    <t>Thread Milling</t>
  </si>
  <si>
    <t>FD = matning vid gängans Ø(mm/min)</t>
  </si>
  <si>
    <t>T, microfräsar</t>
  </si>
  <si>
    <t>Verktyg med midja</t>
  </si>
  <si>
    <t>Stigning</t>
  </si>
  <si>
    <t>Aluminium, Alloyed, &lt; 0.5% Si</t>
  </si>
  <si>
    <t>Aluminium, Alloyed, &lt; 10% Si</t>
  </si>
  <si>
    <t>Leer antes de usar</t>
  </si>
  <si>
    <t>Läs innan användning</t>
  </si>
  <si>
    <t>10011, 1 pass, konisk, Fanuc</t>
  </si>
  <si>
    <t>Inoxidable, fácil de mecanizar</t>
  </si>
  <si>
    <t>Inoxidable, austenítico</t>
  </si>
  <si>
    <t>programa CNC para Mazak</t>
  </si>
  <si>
    <t>tillbaka</t>
  </si>
  <si>
    <t>Cast iron, Lamellar Graphite, &lt; 500 N/mm2</t>
  </si>
  <si>
    <t>T = segundos para fresar la rosca</t>
  </si>
  <si>
    <t>programa CNC para Siemens</t>
  </si>
  <si>
    <t>Gjutjärn, gråjärn, &lt; 1000 N/mm2</t>
  </si>
  <si>
    <t>Gjutjärn, segjärn, aducergods, &lt; 700 N/mm2</t>
  </si>
  <si>
    <t>Kupfer, Messing, Bronze, &lt; 700 N/mm2</t>
  </si>
  <si>
    <t>Con este programa la compensación de la herramienta sólo se usa para ajustes menores. Con esto vas a eliminar problemas que pueden ocurrir cuando uno está usando la compensación en movimientos cortos. Por eso, pon un valor cerca de cero para el diámetro de la fresa en la biblioteca del control numérico.</t>
  </si>
  <si>
    <t>Diámetro correcto de la rosca sin prueba</t>
  </si>
  <si>
    <t>111, 1 pass, flera pass axiellt, Fanuc</t>
  </si>
  <si>
    <t>T (sekunder)</t>
  </si>
  <si>
    <t>NPSF - rörgänga</t>
  </si>
  <si>
    <t>copyright ©</t>
  </si>
  <si>
    <t>Roscas cónicas</t>
  </si>
  <si>
    <t>Stål, låglegerat, &lt; 850 N/mm2</t>
  </si>
  <si>
    <t>Stål, härdat, &lt; 45 HRC</t>
  </si>
  <si>
    <t>Stål, härdat, &lt; 55 HRC</t>
  </si>
  <si>
    <t>Stål, härdat, &lt; 65 HRC</t>
  </si>
  <si>
    <t>¡Atención!</t>
  </si>
  <si>
    <t>Gänglängd</t>
  </si>
  <si>
    <t>Gängprofil</t>
  </si>
  <si>
    <t>Angivna skärdata är endast rekommenderade startvärden. Det finns många faktorer som kan påverka så att justeringar måste göras, t ex maskinstabilitet, verktygsutrustning etc. SmiCut ansvarar ej för skador som kan uppstå när man använder CNC programmet eller skärdata från mjukvaran.</t>
  </si>
  <si>
    <t>1 pass rad.</t>
  </si>
  <si>
    <t>Antal pass</t>
  </si>
  <si>
    <t>Acero, carbono medio, &lt; 0,55% C, &lt; 700 N/mm2</t>
  </si>
  <si>
    <t>CNC program för Fagor</t>
  </si>
  <si>
    <t>CNC program för Mazak</t>
  </si>
  <si>
    <t>Fräs</t>
  </si>
  <si>
    <t>Fd = avance centro fresa (mm/min)</t>
  </si>
  <si>
    <t>z = antal skäreggar</t>
  </si>
  <si>
    <t>Thread Milling Cutters with Indexable Inserts</t>
  </si>
  <si>
    <t>N = Spindeldrehzahl (1/min)</t>
  </si>
  <si>
    <t>Graphite</t>
  </si>
  <si>
    <t>T, fräsar</t>
  </si>
  <si>
    <t>T, tid</t>
  </si>
  <si>
    <t>Nickel, legerat, &lt; 900 N/mm2</t>
  </si>
  <si>
    <t>Copper, High Strength Bronze, &lt; 1500 N/mm2</t>
  </si>
  <si>
    <t>Aluminium, Unalloyed</t>
  </si>
  <si>
    <t>info@smicut.se</t>
  </si>
  <si>
    <t>www.smicut.se</t>
  </si>
  <si>
    <t>Titan, legerat, &lt; 1250 N/mm2</t>
  </si>
  <si>
    <t>Gußeisen mit Lamellengraphit, &lt; 500 N/mm2</t>
  </si>
  <si>
    <t>Nickel, legiert, &lt; 900 N/mm2</t>
  </si>
  <si>
    <t>NPSF - rosca de tubo</t>
  </si>
  <si>
    <t>Acero, carbono bajo, &lt; 0,25% C, &lt; 400 N/mm2</t>
  </si>
  <si>
    <t>Description</t>
  </si>
  <si>
    <t>d</t>
  </si>
  <si>
    <t>D</t>
  </si>
  <si>
    <t>Z</t>
  </si>
  <si>
    <t>Svenska</t>
  </si>
  <si>
    <t>CNC program for Num</t>
  </si>
  <si>
    <t>CNC program for Fagor</t>
  </si>
  <si>
    <t>2 pass rad.</t>
  </si>
  <si>
    <t>3 pass rad.</t>
  </si>
  <si>
    <t>Aluminium, legiert, &lt; 10% Si</t>
  </si>
  <si>
    <t>CNC program för Fanuc</t>
  </si>
  <si>
    <t>CNC program för Siemens</t>
  </si>
  <si>
    <t>CNC program för Num</t>
  </si>
  <si>
    <t>rostfreier Stahl, austenitisch</t>
  </si>
  <si>
    <t>END1</t>
  </si>
  <si>
    <t>Titan, olegerat, &lt; 700 N/mm2</t>
  </si>
  <si>
    <t>Titan, legerat, &lt; 900 N/mm2</t>
  </si>
  <si>
    <t>d = diámetro del corte (mm)</t>
  </si>
  <si>
    <t>NPT - konische Rohrgewinde</t>
  </si>
  <si>
    <t>Cast iron, Lamellar Graphite, &lt; 1000 N/mm2</t>
  </si>
  <si>
    <t>Der angegebene Fräser-Durchmesser ist am Zahn neben dem Schaft. Daher muß der angegebene Gewinde-Durchmesser dort sein, wo dieses Teil des Werkzeugs eingreift.</t>
  </si>
  <si>
    <t>Ende</t>
  </si>
  <si>
    <t>Vändskärsgängfräsar</t>
  </si>
  <si>
    <t xml:space="preserve"> FMAX</t>
  </si>
  <si>
    <t xml:space="preserve"> IY</t>
  </si>
  <si>
    <t>How to use the Program</t>
  </si>
  <si>
    <t>volver</t>
  </si>
  <si>
    <t>back</t>
  </si>
  <si>
    <t>L = longitud de la rosca (mm)</t>
  </si>
  <si>
    <t>Varning!</t>
  </si>
  <si>
    <t>Invändig gängfräsning i svarv med drivna verktyg</t>
  </si>
  <si>
    <t>Las condiciones de corte que estan mencionadas son recomendadas para empezar. Hay muchos factores que pueden afectar para que uno tenga que hacer ajustes, por ejemplo la estabilidad de la maquina, herramientas etc. SmiCut no se responsabiliza de los daños que puedan ocurir cuando uno esta usando el Programa CNC y las condiciones de corte del programa.</t>
  </si>
  <si>
    <t>WHILE[#2LT#1]DO1</t>
  </si>
  <si>
    <t>#2=#2+1</t>
  </si>
  <si>
    <t>Stål, hög kolhalt, &lt; 0,85% C, &lt; 850 N/mm2</t>
  </si>
  <si>
    <t>antal pass, radiellt (max 3)</t>
  </si>
  <si>
    <t>Typ</t>
  </si>
  <si>
    <t>Invändig gängfräsning i fräsmaskin</t>
  </si>
  <si>
    <t>F2b</t>
  </si>
  <si>
    <t>END3</t>
  </si>
  <si>
    <t>Med detta program används verktygskompenseringen endast för mindre justeringar. Detta kommer eliminera problem som kan uppstå när man använder radiekompensering på korta förflyttningar. Ange därför ett värde nära noll för fräsens diameter i verktygsbiblioteket på styrsystemet.</t>
  </si>
  <si>
    <t>Número de pasadas, radial (max 3)</t>
  </si>
  <si>
    <t>Número de pasadas, axial</t>
  </si>
  <si>
    <t>Fanuc</t>
  </si>
  <si>
    <t>l = fräsens skärkantlängd (mm)</t>
  </si>
  <si>
    <t>V = velocidad de corte (m/min)</t>
  </si>
  <si>
    <t>V = skärhastighet (m/min)</t>
  </si>
  <si>
    <t>Fz = matning/tand (mm/tand)</t>
  </si>
  <si>
    <t>antal pass, axiellt</t>
  </si>
  <si>
    <t>N = varvtal (varv/min)</t>
  </si>
  <si>
    <t>programa CNC para Fagor</t>
  </si>
  <si>
    <t>Konisk</t>
  </si>
  <si>
    <t>Svarvning</t>
  </si>
  <si>
    <t>Hierro fundido, lámina de grafito, &lt; 500 N/mm2</t>
  </si>
  <si>
    <t>Hierro fundido, lámina de grafito, &lt; 1000 N/mm2</t>
  </si>
  <si>
    <t>Cobre, no aleado, &lt; 350 N/mm2</t>
  </si>
  <si>
    <t>NPTF - dryseal, rosca de tubo cónica</t>
  </si>
  <si>
    <t>10031, 3 pass, konisk, Fanuc</t>
  </si>
  <si>
    <t>P</t>
  </si>
  <si>
    <t>l</t>
  </si>
  <si>
    <t>L</t>
  </si>
  <si>
    <t>EUR</t>
  </si>
  <si>
    <t>Fax +46 240 182 35</t>
  </si>
  <si>
    <t>d = cutter diameter (mm)</t>
  </si>
  <si>
    <t>d = Fräser-Durchmesser (mm)</t>
  </si>
  <si>
    <t>Stål, höglegerat, &lt; 1200 N/mm2</t>
  </si>
  <si>
    <t>In this program, compensation of tooling is only used for smaller adjustments. This will eliminate problems which can occur when one uses compensation of radius in short movements. Chose therefore a value close to zero for cutter diameter in tooling library of the control system.</t>
  </si>
  <si>
    <t>Gewindefräsen innen in der Drehmaschine mit angetriebenen Werkzeugen</t>
  </si>
  <si>
    <t>Gewindefräsen innen in der Drehmaschine</t>
  </si>
  <si>
    <t>Gewindefräsen innen in der Fräsmachine</t>
  </si>
  <si>
    <t>Kupfer, hochfeste Bronze, &lt; 1500 N/mm2</t>
  </si>
  <si>
    <t>Aluminium, unlegiert</t>
  </si>
  <si>
    <t>Aluminium, legiert, &lt; 0.5% Si</t>
  </si>
  <si>
    <t>Gußeisen mit Lamellengraphit, &lt; 1000 N/mm2</t>
  </si>
  <si>
    <t>Gußeisen mit Kugelgraphit, &lt; 700 N/mm2</t>
  </si>
  <si>
    <t>Stahl, Kohlenstoffgehalt 0,25-0,55%, 700 N/mm2</t>
  </si>
  <si>
    <t>Aluminio, aleado, &gt; 10% Si</t>
  </si>
  <si>
    <t>P = Steigung (mm)</t>
  </si>
  <si>
    <t>F2</t>
  </si>
  <si>
    <t>B</t>
  </si>
  <si>
    <t>Fd</t>
  </si>
  <si>
    <t>T</t>
  </si>
  <si>
    <t>Gängfräsning</t>
  </si>
  <si>
    <t>Compensation of Tooling</t>
  </si>
  <si>
    <t>Fd = matning i fräsens centrum (mm/min)</t>
  </si>
  <si>
    <t>Roscado interior en un torno</t>
  </si>
  <si>
    <t>Roscado interior en una fresadora</t>
  </si>
  <si>
    <t>Werkzeuge mit einem Zahn / zwei Zähnen (axial)</t>
  </si>
  <si>
    <t>Werkzeug mit Taille</t>
  </si>
  <si>
    <t>Bitte unbedingt vor Gebrauch lesen!</t>
  </si>
  <si>
    <t>CNC program för Mitsubishi</t>
  </si>
  <si>
    <t>Correct Thread Diameter right away</t>
  </si>
  <si>
    <t>Stahl, hochlegiert, &lt; 1200 N/mm2</t>
  </si>
  <si>
    <t>Stahl, gerhärtet, &lt; 45 HRC</t>
  </si>
  <si>
    <t>Stahl, gerhärtet, &lt; 55 HRC</t>
  </si>
  <si>
    <t>Stahl, niedriglegiert, &lt; 850 N/mm2</t>
  </si>
  <si>
    <t>Steel, Medium Carbon, &lt; 0,55% C, &lt; 700 N/mm2</t>
  </si>
  <si>
    <t>Cast iron, Nodular Grap., Malleable, &lt; 700 N/mm2</t>
  </si>
  <si>
    <t>CNC Programm für Fagor</t>
  </si>
  <si>
    <t>Español</t>
  </si>
  <si>
    <t>N = spindle speed (rpm)</t>
  </si>
  <si>
    <t>B/d</t>
  </si>
  <si>
    <t>CNC Programm für Num</t>
  </si>
  <si>
    <t>Cobre, latón, bronze, &lt; 700 N/mm2</t>
  </si>
  <si>
    <t>programa CNC para Num</t>
  </si>
  <si>
    <t>Gänga</t>
  </si>
  <si>
    <t>Pass, raidellt</t>
  </si>
  <si>
    <t>Microfräs</t>
  </si>
  <si>
    <t>Steel, Low Alloy, &lt; 850 N/mm2</t>
  </si>
  <si>
    <t>l = length of cutting edge (mm)</t>
  </si>
  <si>
    <t>Wendeschneid-Gewindefräser</t>
  </si>
  <si>
    <t>D = thread diameter (mm)</t>
  </si>
  <si>
    <t>Steel, Hardened, &lt; 45 HRC</t>
  </si>
  <si>
    <t>Steel, Hardened, &lt; 55 HRC</t>
  </si>
  <si>
    <t>Aluminio, no aleado</t>
  </si>
  <si>
    <t>Aluminio, aleado, &lt; 0.5% Si</t>
  </si>
  <si>
    <t>Aluminio, aleado, &lt; 10% Si</t>
  </si>
  <si>
    <t>FD = feed at thread diameter (mm/min)</t>
  </si>
  <si>
    <t>T = tid att fräsa gängan (sekunder)</t>
  </si>
  <si>
    <t>Titan, unlegiert, &lt; 700 N/mm2</t>
  </si>
  <si>
    <t>Titan, legiert, &lt; 900 N/mm2</t>
  </si>
  <si>
    <t>Gußeisen mit Kugelgraphit, &lt; 1000 N/mm2</t>
  </si>
  <si>
    <t>rostfreier Stahl, gut bearbeitbar</t>
  </si>
  <si>
    <t>21, 2 pass Fanuc</t>
  </si>
  <si>
    <t>Steel, High Alloy, &lt; 1200 N/mm2</t>
  </si>
  <si>
    <t>Herramientas con uno o dos dientes (axial)</t>
  </si>
  <si>
    <t>Værktøj med en eller 2 tænder (axialt)</t>
  </si>
  <si>
    <t>Om verktyget har kortare skärkantlängd än gänglängd kommer programmet automatiskt att göra gängan i behövligt antal axiella pass.</t>
  </si>
  <si>
    <t>D = diámetro de la rosca (mm)</t>
  </si>
  <si>
    <t>P = paso (mm)</t>
  </si>
  <si>
    <t>P = paso (TPI)</t>
  </si>
  <si>
    <t>Gäng D</t>
  </si>
  <si>
    <t>Allt</t>
  </si>
  <si>
    <t>Rullist</t>
  </si>
  <si>
    <t>F1 x F2</t>
  </si>
  <si>
    <t>Pass, axiellt</t>
  </si>
  <si>
    <t>P = pitch (mm)</t>
  </si>
  <si>
    <t>P = pitch (TPI)</t>
  </si>
  <si>
    <t>Elige idioma abajo en el lado derecho y después puedes elegir tus opciones en las pestañas y en los cuatro primeros cuadros. Con esta información el programa te va a ofrecer diferentes herramientas convenientes en la última pestaña. Cuando has eligido una herramienta, puedes ver la información de la herramienta, condiciones de corte y el tiempo que tarda en hacer la rosca. Además se enseña el programa CNC. Se puede copiar y pegar en otro archivo. Los últimos seis cuadros sólo se rellenan en caso de no aceptar lo recomdendado.</t>
  </si>
  <si>
    <t>1021, 2 pass, microfräsar, Fanuc</t>
  </si>
  <si>
    <t>WHILE[#2LT#1]DO2</t>
  </si>
  <si>
    <t>END2</t>
  </si>
  <si>
    <t>WHILE[#2LT#1]DO3</t>
  </si>
  <si>
    <t>Nickel, Unalloyed, &lt; 500 N/mm2</t>
  </si>
  <si>
    <t>Gjutjärn, gråjärn, &lt; 500 N/mm2</t>
  </si>
  <si>
    <t>Hur man använder programmet</t>
  </si>
  <si>
    <t>Fd = feed in center of mill (mm/min)</t>
  </si>
  <si>
    <t>T = time to mill the thread (seconds)</t>
  </si>
  <si>
    <t>Fz = feed/tooth (mm/tooth)</t>
  </si>
  <si>
    <t>rostfreier Stahl, ferritisch und austenitisch</t>
  </si>
  <si>
    <t>Axiell förfl.</t>
  </si>
  <si>
    <t>P = Steigung (TPI)</t>
  </si>
  <si>
    <t>CNC Programm für Fanuc</t>
  </si>
  <si>
    <t>CNC Programm für Siemens</t>
  </si>
  <si>
    <t>Tapered Threads</t>
  </si>
  <si>
    <t>Aluminium, legerat, &lt; 10% Si</t>
  </si>
  <si>
    <t>Aluminium, legerat, &gt; 10% Si</t>
  </si>
  <si>
    <t>Grafit</t>
  </si>
  <si>
    <t>M - Metrico</t>
  </si>
  <si>
    <t>Nickel, legerat, &lt; 1250 N/mm2</t>
  </si>
  <si>
    <t>Fz = avance/labio (mm/labio)</t>
  </si>
  <si>
    <t>N = velocidad de giro (v/min)</t>
  </si>
  <si>
    <t>Hierro fundido, graf. esfer., maleable, &lt;700 N/mm2</t>
  </si>
  <si>
    <t>Hierro fundido, graf. esfer., maleable, &lt;1000 N/mm2</t>
  </si>
  <si>
    <t>Werkzeug-Kompensation</t>
  </si>
  <si>
    <t>The program will automatically produce the thread in several steps if a thread mill has shorter cutting length than the requested length.</t>
  </si>
  <si>
    <t>¿Cómo se usa este programa?</t>
  </si>
  <si>
    <t>Konische Gewinde</t>
  </si>
  <si>
    <t>l = Schneidelänge des Fräsers (mm)</t>
  </si>
  <si>
    <t>Konisk gevind</t>
  </si>
  <si>
    <t>Wählen Sie zuerst Sprache auf der rechten Seite ganz unten und danach die gewünschten Alternativen in den Pulldown-Menüs und füllen Sie die vier ersten Kästchen ein. Mit Hilfe dieser Information zeigt das Programm im letzten Pulldown-Menü Vorschläge von geeigneten Werkzeugen. Nachdem Sie ein Werkzeug gewählt haben, erhalten Sie vom Programm Information über das Werkzeug, empfohlene Schnittdaten und die erforderliche Zeit, um das Gewinde zu schneiden. Außerdem wird das CNC-Programm gezeigt. Dies kann herauskopiert und in Ihre CNC-Datei eingefügt werden. Die übrigen sechs Kästchen werden nur eingefüllt, falls Sie die Vorschläge nicht akzeptieren.</t>
  </si>
  <si>
    <t>Cobre, bronze de alta resistencia, &lt; 1500 N/mm2</t>
  </si>
  <si>
    <t>Mit diesem Programm wird die Werkzeug-Kompensation nur für kleinere Verstellungen verwendet. Dies beseitigt Probleme, die entstehen können wenn man Radiuskorrekturen bei kurzen Verfahrwegen verwendet. Geben Sie daher einen Wert nahe an 0 für den Fräser-Durchmesser in der Werkzeug-Bibliothek am Steuersystem an.</t>
  </si>
  <si>
    <t>Korrekter Gewinde-Durchmesser direkt</t>
  </si>
  <si>
    <t>Spezialwerkzeuge</t>
  </si>
  <si>
    <t>Stahl, Kohlenstoffgehalt 0,55-0,85%, &lt; 850 N/mm2</t>
  </si>
  <si>
    <t>L / d</t>
  </si>
  <si>
    <t>L/d</t>
  </si>
  <si>
    <t>Verklig L</t>
  </si>
  <si>
    <t>Acero, aleado alto, &lt; 1200 N/mm2</t>
  </si>
  <si>
    <t>Acero, templado, &lt; 45 HRC</t>
  </si>
  <si>
    <t>The mentioned cutting data are only recommended starting values. There are many things that can affect so it will be necessary to make adjustments, for example, machine stability, tooling equipment etc. SmiCut does not take any responsibility for damages that can occur when using the CNC program or cutting data recommended by the software.</t>
  </si>
  <si>
    <t>Microfräsar</t>
  </si>
  <si>
    <t>El diámetro del corte será el diente que está más cerca del mango. Por eso,  el diámetro de la rosca debe estar al mismo nivel del diente empleado para el diámetro del corte.</t>
  </si>
  <si>
    <t>Wie man dieses Programm verwendet</t>
  </si>
  <si>
    <t>Nickel, Alloyed, &lt; 900 N/mm2</t>
  </si>
  <si>
    <t>CNC program for Fanuc</t>
  </si>
  <si>
    <t>M-Metrisk</t>
  </si>
  <si>
    <t>BSPT - konisk rørgevind</t>
  </si>
  <si>
    <t>NPT - Konisk rørgevind</t>
  </si>
  <si>
    <t>NPTF - dryseal - konisk rørgevind</t>
  </si>
  <si>
    <t>NPSF - rørgevind</t>
  </si>
  <si>
    <t>PG - Panserrørgevind</t>
  </si>
  <si>
    <t>Stål, m/lav kulindhold, &lt; 0,25% C, &lt; 400 N/mm2</t>
  </si>
  <si>
    <t>CNC Programm für Mazak</t>
  </si>
  <si>
    <t>CNC Programm für Mitsubishi</t>
  </si>
  <si>
    <t>Fresado de roscas</t>
  </si>
  <si>
    <t>11, 1 pass Fanuc</t>
  </si>
  <si>
    <t>Si la herramienta tiene una longitud de corte más corta que la longitud de la rosca, el programa automáticamente va a hacer la rosca en suficientes pasadas axiales.</t>
  </si>
  <si>
    <t>PG - Panzerrohrgewinde</t>
  </si>
  <si>
    <t>Titanium, legeret, &lt; 900 N/mm2</t>
  </si>
  <si>
    <t>Titanium, legeret, &lt; 1250 N/mm2</t>
  </si>
  <si>
    <t>Nikkel, ulegeret, &lt; 700 N/mm2</t>
  </si>
  <si>
    <t>Nikkel, legeret, &lt; 900 N/mm2</t>
  </si>
  <si>
    <t>N = omdrejninger, spindel (omdr./min.)</t>
  </si>
  <si>
    <t>FD = tilspænding, gevind diameter</t>
  </si>
  <si>
    <t>Fd = tilspænding, v/center af fræser</t>
  </si>
  <si>
    <t>T = Indgrebstid (sekunder)</t>
  </si>
  <si>
    <t>CNC program til Fanuc</t>
  </si>
  <si>
    <t>CNC program til Siemens</t>
  </si>
  <si>
    <t>CNC program til Num</t>
  </si>
  <si>
    <t>CNC program til Fagor</t>
  </si>
  <si>
    <t>CNC program til Mazak</t>
  </si>
  <si>
    <t>CNC program til Mitsubishi</t>
  </si>
  <si>
    <t>Gevindfræsning</t>
  </si>
  <si>
    <t>Læs før anvendelse!</t>
  </si>
  <si>
    <t>Advarsel</t>
  </si>
  <si>
    <t>Anzahl Durchgänge, radial (max. 3)</t>
  </si>
  <si>
    <t>Herramientas con cinturón</t>
  </si>
  <si>
    <t>.</t>
  </si>
  <si>
    <t>Hvordan anvendes programmet</t>
  </si>
  <si>
    <t>M - Metric</t>
  </si>
  <si>
    <t>Anzahl Durchgänge, axial</t>
  </si>
  <si>
    <t>Specialværktøj</t>
  </si>
  <si>
    <t>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six squares shall only be completed if you do not accept the recommended.</t>
  </si>
  <si>
    <t>Please read before use!</t>
  </si>
  <si>
    <t xml:space="preserve">Die angegebenen Schneidedaten sind nur empfohlene Startwerde. Es sind viele Faktoren, die Justierungen erforderlich machen können, z.B. die Stabilität der Maschine, die Werkzeugausrüstung etc. SmiCut haftet nicht für Schäden die entstehen können, wenn das CNC-Programm oder die Schneidedaten der Software verwendet werden. </t>
  </si>
  <si>
    <t>Stahl, gerhärtet, &lt; 65 HRC</t>
  </si>
  <si>
    <t>Stål, m/middel kulindhold, &lt; 0,55% C, &lt; 700 N/mm2</t>
  </si>
  <si>
    <t>Keerme freesimine</t>
  </si>
  <si>
    <t>Stål, m/høj kulindhold, &lt; 0,85% C, &lt; 850N/mm2</t>
  </si>
  <si>
    <t>Stål, lavt legeret, &lt; 850 N/mm2</t>
  </si>
  <si>
    <t>Stål, højt legeret, &lt; 1200 N/mm2</t>
  </si>
  <si>
    <t>Stål, hærdet, &lt; 45 HRC</t>
  </si>
  <si>
    <t>Stål, hærdet, &lt; 55 HRC</t>
  </si>
  <si>
    <t>Stål, hærdet, &lt; 65 HRC</t>
  </si>
  <si>
    <t>Støbegods GG, &lt; 500N/mm2</t>
  </si>
  <si>
    <t>Ståbegods GG, &lt; 1000N/mm2</t>
  </si>
  <si>
    <t>Støbegods GGG, &lt; 700N/mm2</t>
  </si>
  <si>
    <t>Støbegods GGG, &lt; 1000N/mm2</t>
  </si>
  <si>
    <t>Rustfrit automatstål</t>
  </si>
  <si>
    <t>Rustfrit stål, Austenitisk</t>
  </si>
  <si>
    <t>Rustfrit stål, ferritisk/austenitisk</t>
  </si>
  <si>
    <t>Titanium, ulegeret, &lt; 700 N/mm2</t>
  </si>
  <si>
    <t>Mainitud lõikeandmed on ainult soovituslikud töö alustamiseks. On mitmeid tegureid mis võivad andmeid mõjutada, seega võib tekkida vajadus teha parandusi, näiteks stabiilsus, tööriistad, jne. SmiCut ei vastuta kahjude eest mis võivad tekkida kasutades CNC programmi või programmi poolt soovitatud lõikeandmeid.</t>
  </si>
  <si>
    <t>Kuidas kasutada programmi</t>
  </si>
  <si>
    <t>Fd = avanzamento al centro della fresa (mm/min)</t>
  </si>
  <si>
    <t>T = tempo di esecuzione del filetto(secondi)</t>
  </si>
  <si>
    <t>Programma CNC per Fanuc</t>
  </si>
  <si>
    <t>Programma CNC per Siemens</t>
  </si>
  <si>
    <t>Gewindefräsen</t>
  </si>
  <si>
    <t>Værktøj med skaftreduktion</t>
  </si>
  <si>
    <t>Titan, legiert, &lt; 1250 N/mm2</t>
  </si>
  <si>
    <t>Grafito</t>
  </si>
  <si>
    <t>Aluminium, olegerat</t>
  </si>
  <si>
    <t>Aluminium, legerat, &lt; 0.5% Si</t>
  </si>
  <si>
    <t>l = fræserens skærekantslængde (mm)</t>
  </si>
  <si>
    <t>z = antal skær</t>
  </si>
  <si>
    <t>V = skærehastighed (m/min)</t>
  </si>
  <si>
    <t>Fz = tilspænding/tand (mm/tand)</t>
  </si>
  <si>
    <t>antal overløb, radialt (max. 3)</t>
  </si>
  <si>
    <t xml:space="preserve">antal overløb, axialt </t>
  </si>
  <si>
    <t>Nikkel, Legeeritud, &lt; 1250 N/mm3</t>
  </si>
  <si>
    <t>Vask, Mittelegeeritud, &lt; 350 N/mm3</t>
  </si>
  <si>
    <t>Vask, Messing, Pronks, &lt; 700 N/mm3</t>
  </si>
  <si>
    <t>Vask, Suure Tugevusega Pronks, &lt; 1500 N/mm3</t>
  </si>
  <si>
    <t>Alumiinium, Mittelegeeritud</t>
  </si>
  <si>
    <t>Alumiinium, Legeeritud, &lt; 0.5% Si</t>
  </si>
  <si>
    <t>Stahl, Kohlenstoffgehalt &lt; 0,25%, &lt; 400 N/mm2</t>
  </si>
  <si>
    <t>NPT - Koonus torukeere</t>
  </si>
  <si>
    <t>Alumiinium, Legeeritud, &lt; 10% Si</t>
  </si>
  <si>
    <t>Alumiinium, Legeeritud, &gt; 10% Si</t>
  </si>
  <si>
    <t>Inkonell 718</t>
  </si>
  <si>
    <t>Grafiit</t>
  </si>
  <si>
    <t>D = keerme diameeter (mm)</t>
  </si>
  <si>
    <t>Teras, Karastatud, &lt; 55 HRC</t>
  </si>
  <si>
    <t>Teras, Karastatud, &lt; 65 HRC</t>
  </si>
  <si>
    <t>Malm, Libleline Grafiit, &lt; 500 N/mm3</t>
  </si>
  <si>
    <t>Malm, Libleline Grafiit, &lt; 1000 N/mm3</t>
  </si>
  <si>
    <t>Malm, Keragrafiit, Tempermalm, &lt; 700 N/mm3</t>
  </si>
  <si>
    <t>Malm, Keragrafiit, Tempermalm, &lt; 1000 N/mm3</t>
  </si>
  <si>
    <t>Roostevabateras, Hea Lõiketöödelduvusega</t>
  </si>
  <si>
    <t>Roostevabateras, Austeniitne</t>
  </si>
  <si>
    <t>Teras, Kõrglegeeritud sulam, &lt; 1200 N/mm3</t>
  </si>
  <si>
    <t>Teras, Karastatud, &lt; 45 HRC</t>
  </si>
  <si>
    <t>Titaan, Mittelegeeritud, &lt; 700 N/mm3</t>
  </si>
  <si>
    <t>Indvendig gevindfræsning i Maskincenter</t>
  </si>
  <si>
    <t>Indvendig gevindfræsning m/drevne værktøjer</t>
  </si>
  <si>
    <t>Titanium, ongelegeerd, &lt; 700 N/mm2</t>
  </si>
  <si>
    <t>Titanium, gelegeerd, &lt; 900 N/mm2</t>
  </si>
  <si>
    <t>Programma CNC per Mitsubishi</t>
  </si>
  <si>
    <t>Hvis værktøjet har en kortere skærekantslængde end gevindlængden vil programmet automatisk lave gevindet i flere overløb axialt.</t>
  </si>
  <si>
    <t>Vendeskærs gevindfræser</t>
  </si>
  <si>
    <t>Vali keel alt paremast nurgast, tee valikud rippmenüüdest ja täida neli esimest lahtrit. Sisestades piisavalt andmeid kuvab programm soovitusliku valiku freese. Kui oled valinud ühe freesidest, kuvatakse andmed freesist kaasa arvatud soovituslikud lõike andmed ja töö kestvuse. Täielik CNC programm on ka nähtaval ja selle saab lihtsalt kopeerida CNC faili. Ülejäänud kuus lahtrit täidetakse ainult juhul kui soovituslikud andmed ei ole sobivad.</t>
  </si>
  <si>
    <t>Instrumendi kompenseerimine</t>
  </si>
  <si>
    <t>Programma CNC per Fagor</t>
  </si>
  <si>
    <t>Programma CNC per Mazak</t>
  </si>
  <si>
    <t>Fd = Vorschub im Fräser-Zentrum (mm/min)</t>
  </si>
  <si>
    <t>T = Zeit zum Fräsen des Gewindes (sek)</t>
  </si>
  <si>
    <t>L = thread length (mm)</t>
  </si>
  <si>
    <t>Korrekt gevinddiameter - første gang</t>
  </si>
  <si>
    <t>Programm sooritab automaatselt keermestuse mitmes järgus juhul kui freesil on lühem lõike pikkus kui soovitud keerme pikkus.</t>
  </si>
  <si>
    <t>P = tipo de rosca (TPI)</t>
  </si>
  <si>
    <t xml:space="preserve">Med dette program anvendes værktøjskompensering kun til mindre justeringer. Dette vil elimenere de problemer som kan opstå hvis der anvendes radialkompensering på små forskydninger. Angiv derfor en værdi nær 0 for fræserens diameter i værktøjsbiblioteket på styresystemet. </t>
  </si>
  <si>
    <t>Numero di passate, radiali (max 3)</t>
  </si>
  <si>
    <t>Numero di  passate, assiali</t>
  </si>
  <si>
    <t>N = Rotazione mandrino (rpm)</t>
  </si>
  <si>
    <t>In questo programma, la compensazione è  usata solo per piccole registrazioni.  Questo eliminerà problemi che possono verificarsi quando si usa una compensazione  del raggio in movimenti corti. Scegliete pertanto un valore vicino allo zero per diametro tagliente nella libreria del sistema di controllo.</t>
  </si>
  <si>
    <t>Diametro di filettatura corretto già pronto</t>
  </si>
  <si>
    <t>Frese a filettare con solo uno o due denti</t>
  </si>
  <si>
    <t>Läbimite arv, aksiaalne</t>
  </si>
  <si>
    <t>N = spindli pöörete arv (rpm)</t>
  </si>
  <si>
    <t>FD = ettenihe keerme diameetril (mm/min)</t>
  </si>
  <si>
    <t>Fd = ettenihe freesi keskmes (mm/min)</t>
  </si>
  <si>
    <t>Roostevabateras, Ferriitne ja Austeniitne</t>
  </si>
  <si>
    <t>Nikkel, Mittelegeeritud, &lt; 500 N/mm3</t>
  </si>
  <si>
    <t>Nikkel, Legeeritud, &lt; 900 N/mm3</t>
  </si>
  <si>
    <t>Utensili non in lista o speciali</t>
  </si>
  <si>
    <t>T = aeg keerme freesimiseks (seconds)</t>
  </si>
  <si>
    <t>CNC programm Fanuc</t>
  </si>
  <si>
    <t>CNC programm Siemens</t>
  </si>
  <si>
    <t>CNC programm Num</t>
  </si>
  <si>
    <t>CNC programm Fagor</t>
  </si>
  <si>
    <t>CNC programm Mazak</t>
  </si>
  <si>
    <t>CNC programm Mitsubishi</t>
  </si>
  <si>
    <t>Gietijzer, Lamellair grafiet, &lt; 1000 N/mm2</t>
  </si>
  <si>
    <t>Titaan, Legeeritud, &lt; 1250 N/mm3</t>
  </si>
  <si>
    <t>Freesi läbimõõt on väikseim kohe peale viimast täis keeret. Seetõttu on vajalik märkida keerme läbimõõt kohalt kus just see freesi koht töötab.</t>
  </si>
  <si>
    <t>tagasi</t>
  </si>
  <si>
    <t>Romana</t>
  </si>
  <si>
    <t>Filettatura interna con fresa in centro di lavoro</t>
  </si>
  <si>
    <t>Filettatura interna con fresa in tornio con contropunta</t>
  </si>
  <si>
    <t>NPTF</t>
  </si>
  <si>
    <t>PG</t>
  </si>
  <si>
    <t>Acciai con basso tenore di carbonio, &lt; 0,25% C, &lt; 400 N/mm3</t>
  </si>
  <si>
    <t>Acciai con medio tenore di carbonio, &lt; 0,55% C, &lt; 700 N/mm3</t>
  </si>
  <si>
    <t>Titaan, Legeeritud, &lt; 900 N/mm3</t>
  </si>
  <si>
    <t>d = fræser diameter (mm)</t>
  </si>
  <si>
    <t>Palun, loe enne kasutamist!</t>
  </si>
  <si>
    <t>Hoiatus!</t>
  </si>
  <si>
    <t xml:space="preserve">z = numero di taglienti </t>
  </si>
  <si>
    <t>Teras, Kesksüsinik, &lt; 0,55% C, &lt; 700 N/mm3</t>
  </si>
  <si>
    <t>Teras, Kõrgesüsinik, &lt; 0,85% C, &lt; 850 N/mm3</t>
  </si>
  <si>
    <t>Teras, Madallegeeritud sulam, &lt; 850 N/mm3</t>
  </si>
  <si>
    <t xml:space="preserve">Attenzione, leggere prima di usare </t>
  </si>
  <si>
    <t>Attenzione!</t>
  </si>
  <si>
    <t>Staal, gehard, &lt; 45 HRC</t>
  </si>
  <si>
    <t>Staal, gehard, &lt; 55 HRC</t>
  </si>
  <si>
    <t>I parametri di taglio consigliati sono valori di partenza. Ci sono molti fattori che possono influenzare, quindi è necessario operare correzioni, per esempio, stabilità della macchina, staffaggio e portautensile ecc. Smicut declina ogni responsabilità per eventuali danni procurati dall'uso del programma CNC e dai parametri di taglio consigliati.</t>
  </si>
  <si>
    <t>Come usare il programma</t>
  </si>
  <si>
    <t>Thread Mills with one or two teeth per flute</t>
  </si>
  <si>
    <t>Thread Mills with smaller waist</t>
  </si>
  <si>
    <t>Unlisted and Special Tooling</t>
  </si>
  <si>
    <t>Værktøjskompensering</t>
  </si>
  <si>
    <t>Keerme freesid ahendatud keskosaga</t>
  </si>
  <si>
    <t>L = comprimento da rosca (mm)</t>
  </si>
  <si>
    <t>d = diâmetro de corte (mm)</t>
  </si>
  <si>
    <t>l = comprimento de corte da fresa (mm)</t>
  </si>
  <si>
    <t xml:space="preserve">Vælg sprog længst nede i højre hjørne og foretag derefter dine valg i rullegardinsmenuerne samt udfyld de første 4 rubrikker. Med denne information fremkommer et forslag i den sidste rullegardinsmenu med forslag på anvendelige værktøjer. Når du har valgt et værktøj fremkommer der information om værktøjet, de anbefalede skæredata samt den tid det vil tage at fremstille gevindet. Udover førnævnte fremkommer CNC programmet. Dette kan kopieres over i din CNC-fil. De øvrige ruder udfyldes kun, hvis ikke det fremkomne forslag kan accepteres. </t>
  </si>
  <si>
    <t>Sisekeerme freesimine freespingis</t>
  </si>
  <si>
    <t>Sisekeerme freesimine treipingis pöörleva instrumendiga</t>
  </si>
  <si>
    <t>M - Meeterkeere</t>
  </si>
  <si>
    <t>FD = avanzamento al diametro di filettatura (mm/min)</t>
  </si>
  <si>
    <t>Programma CNC per Num</t>
  </si>
  <si>
    <t>Fræserens diameter som angives, skal måles ved gevindet nærmest skaftet. Derfor skal gevindets diameter være den del af værktøjet som er i indgreb.</t>
  </si>
  <si>
    <t>tilbage</t>
  </si>
  <si>
    <t>NPTF - Kuivtihendus, Koonus torukeere</t>
  </si>
  <si>
    <t>NPSF - Torukeere</t>
  </si>
  <si>
    <t>Kobber, ulegeret, &lt; 350 N/mm2</t>
  </si>
  <si>
    <t>Kobber, Messing, Bronze, &lt; 700N/mm2</t>
  </si>
  <si>
    <t>Kobber, Bronze, høj brudstyrke, &lt; 1500 N/mm2</t>
  </si>
  <si>
    <t>Aluminium, ulegeret</t>
  </si>
  <si>
    <t>Aluminium, legeret, &lt; 0,5% Si</t>
  </si>
  <si>
    <t>Aluminium, legeret, &lt; 10% Si</t>
  </si>
  <si>
    <t>D = gevind diameter (mm)</t>
  </si>
  <si>
    <t>P = Stigning (TPI)</t>
  </si>
  <si>
    <t>L = gevind længde (mm)</t>
  </si>
  <si>
    <t>S.v.p. lezen voor gebruik</t>
  </si>
  <si>
    <t>d = freesi diameeter (mm)</t>
  </si>
  <si>
    <t>l = lõikeserva pikkus (mm)</t>
  </si>
  <si>
    <t>z = laastusoonte arv</t>
  </si>
  <si>
    <t>V = lõikekiirus (m/min)</t>
  </si>
  <si>
    <t>Alluminio legato, &lt; 0.5% Si</t>
  </si>
  <si>
    <t>Alluminio legato, &lt; 10% Si</t>
  </si>
  <si>
    <t>Alluminio legato, &gt; 10% Si</t>
  </si>
  <si>
    <t>Grafite</t>
  </si>
  <si>
    <t>D = diametro filettatura (mm)</t>
  </si>
  <si>
    <t>P = passo (mm)</t>
  </si>
  <si>
    <t>P = passo TPI (filetti per pollice)</t>
  </si>
  <si>
    <t>L =lunghezza filettatura (mm)</t>
  </si>
  <si>
    <t>d = diametro fresa (mm)</t>
  </si>
  <si>
    <t>l = lunghezza tagliente (mm)</t>
  </si>
  <si>
    <t>Gietijzer, Lamellair grafiet, &lt; 500 N/mm2</t>
  </si>
  <si>
    <t>Ghisa, lamellare e grafitica, &lt; 500 N/mm3</t>
  </si>
  <si>
    <t>P = keermesamm (mm)</t>
  </si>
  <si>
    <t>P = keermesamm (TPI)</t>
  </si>
  <si>
    <t>L = keerme pikkus (mm)</t>
  </si>
  <si>
    <t>Nichel non legato, &lt; 500 N/mm3</t>
  </si>
  <si>
    <t>Nichel legato, &lt; 900 N/mm3</t>
  </si>
  <si>
    <t>Nichel legato, &lt; 1250 N/mm3</t>
  </si>
  <si>
    <t>Teras, Madalsüsinik, &lt; 0,25% C, &lt; 400 N/mm3</t>
  </si>
  <si>
    <t>Keerme frees vahetatavate plaatidega</t>
  </si>
  <si>
    <t>Fz = etteandmine/hammas (mm/tooth)</t>
  </si>
  <si>
    <t>Läbimite arv, radiaalne (max 3)</t>
  </si>
  <si>
    <t>Kooniline keere</t>
  </si>
  <si>
    <t>Il diametro tagliente di riferimento è sopra l'ultimo filetto completo vicino al codolo.E' pertanto necessario posizionare il diametro del filetto dove questa parte della fresa lavora.</t>
  </si>
  <si>
    <t>Indietro</t>
  </si>
  <si>
    <t>Inwendig draadsnijden op bewerkingscentrum</t>
  </si>
  <si>
    <t>BSPT - Tapered Pijpdraad</t>
  </si>
  <si>
    <t>NPT - Tapered Pijpdraad</t>
  </si>
  <si>
    <t>NPTF - Dryseal, Tapered Pijpdraad</t>
  </si>
  <si>
    <t>NPSF - Pijpdraad</t>
  </si>
  <si>
    <t>Staal ongelegeerd, &lt; 0,25% C, &lt; 400 N/mm2</t>
  </si>
  <si>
    <t>V = velocità di taglio (m/min)</t>
  </si>
  <si>
    <t>Fz = avanzamento per dente (mm/dente)</t>
  </si>
  <si>
    <t>Gietijzer, Nodulair Grap., smeedbaar, &lt; 700 N/mm2</t>
  </si>
  <si>
    <t>Gietijzer, Nodulair Grap., smeedbaar, &lt; 1000 N/mm2</t>
  </si>
  <si>
    <t>Roestvrijstaal, automatenstaal</t>
  </si>
  <si>
    <t>Roestvrijstaal, Austenitisch</t>
  </si>
  <si>
    <t>Roestvrijstaal, Ferritisch en Austenitisch</t>
  </si>
  <si>
    <t>Gereedschappen met taille</t>
  </si>
  <si>
    <t>Als het gereedschap een kortere snijlengte heeft als de draadlengte, zal het programma automatisch het aantal noodzakelijke axiale doorgangen snijden.</t>
  </si>
  <si>
    <t>Draadfrezen met wisselplaten</t>
  </si>
  <si>
    <t>Staal,koolstofstaal, &lt; 0,85% C, &lt; 850 N/mm2</t>
  </si>
  <si>
    <t>Staal, gelegeerd, &lt; 850 N/mm2</t>
  </si>
  <si>
    <t>Staal, hooggelegeerd, &lt; 1200 N/mm2</t>
  </si>
  <si>
    <t>Erilised ja spetsiaalsed seaded</t>
  </si>
  <si>
    <t>Hoe het programma te gebruiken</t>
  </si>
  <si>
    <t>P = tipo de rosca (mm)</t>
  </si>
  <si>
    <t xml:space="preserve">De aangegeven snijgegevens zijn aanbevolen startgegevens. Er zijn verschillende factoren die deze waarden kunnen beïnvloeden, het is dus noodzakelijk aanpassingen te maken, bijvoorbeeld: machinestabiliteit, opnamegereedschap etc. Smicut neemt geen enkele verantwoording voor schade welke kan ontstaan door het gebruik van het CNC programma of snijgegevens aanbevolen door de software.  </t>
  </si>
  <si>
    <t>UN - Unifitseeritud keere</t>
  </si>
  <si>
    <t>BSPT - Koonus torukeere</t>
  </si>
  <si>
    <t>Frese a filettare corte</t>
  </si>
  <si>
    <t>Acciai con alto tenore di carbonio, &lt; 0,85% C, &lt; 850 N/mm3</t>
  </si>
  <si>
    <t>Acciai poco legati , &lt; 850 N/mm3</t>
  </si>
  <si>
    <t>Acciai alto legati , &lt; 1200 N/mm3</t>
  </si>
  <si>
    <t>Acciai temperati &lt; 45 HRC</t>
  </si>
  <si>
    <t>Acciai temperati , &lt; 55 HRC</t>
  </si>
  <si>
    <t>Nikkel, legeret, &lt; 1250M/mm2</t>
  </si>
  <si>
    <t>Scegliete  la lingua in basso sulla destra e fate le vostre scelte compilando i primi 4 riquadri. Subito il programma evidenzia una gamma di frese per filettare consigliata. Quando avete scelto una fresa compare l'informazione in merito all'utensile, ai parametri di taglio consigliati ed al tempo necessario per produrre il filetto. Il programma CNC viene inoltre mostrato per intero. Il programma  CNC può essere copiato e incollato nel vostro file CNC. Gli altri 6 riquadri possono essere compilati solo se non accettate quelli raccomandati.</t>
  </si>
  <si>
    <t>Compensazione utensile</t>
  </si>
  <si>
    <t>N = Toerental spindel (rpm)</t>
  </si>
  <si>
    <t>FD = voeding aan de draaddiameter diameter (mm/min)</t>
  </si>
  <si>
    <t>Fd = voeding in het centrum v/d frees (mm/min)</t>
  </si>
  <si>
    <t>T = tijd om de draad te frezen (seconden)</t>
  </si>
  <si>
    <t>CNC programma voor Fanuc</t>
  </si>
  <si>
    <t>CNC programma voor Siemens</t>
  </si>
  <si>
    <t>CNC programma voor Num</t>
  </si>
  <si>
    <t>CNC programma voor Fagor</t>
  </si>
  <si>
    <t>CNC programma voorMazak</t>
  </si>
  <si>
    <t>CNC programma voor Mitsubishi</t>
  </si>
  <si>
    <t>Draadfrezen</t>
  </si>
  <si>
    <t>Il programma produrrà automaticamente il filetto in diverse passate se la fresa a filettare ha una lunghezza tagliente più corta della lunghezza richiesta.</t>
  </si>
  <si>
    <t>Ghisa,  lamellare e grafitica, &lt; 1000 N/mm3</t>
  </si>
  <si>
    <t>Ghisa, nodulare e malleabile, &lt; 700 N/mm3</t>
  </si>
  <si>
    <t>Ghisa, nodulare e malleabile, &lt; 1000 N/mm3</t>
  </si>
  <si>
    <t>Titânio, não alegado, &lt; 700 N/mm2</t>
  </si>
  <si>
    <t>Titânio, alegado, &lt; 900 N/mm2</t>
  </si>
  <si>
    <t>Titânio, alegado,&lt; 1250 N/mm2</t>
  </si>
  <si>
    <t>Níquel, não alegado, &lt; 500 N/mm2</t>
  </si>
  <si>
    <t>Níquel, alegado, &lt; 900 N/mm2</t>
  </si>
  <si>
    <t>Acciaio inossidabile di buona lavorabilità</t>
  </si>
  <si>
    <t>Acciaio inossidabile austenitico</t>
  </si>
  <si>
    <t>Rame non legato, &lt; 350 N/mm3</t>
  </si>
  <si>
    <t>Rame, ottone, bronzo, &lt; 700 N/mm3</t>
  </si>
  <si>
    <t>Rame, ottone molto legato, &lt; 1500 N/mm3</t>
  </si>
  <si>
    <t>Alluminio non legato</t>
  </si>
  <si>
    <t>Acciaio inossidabile ferritico ed austenitico</t>
  </si>
  <si>
    <t>Titanio non legato, &lt; 700 N/mm3</t>
  </si>
  <si>
    <t>Staal, Constructiestaal, &lt; 0,55% C, &lt; 700 N/mm2</t>
  </si>
  <si>
    <t>Fresa per filettare</t>
  </si>
  <si>
    <t>Draadfrezen met een tand / twee tanden (axiaal)</t>
  </si>
  <si>
    <t>In dit programma wordt compensatie alleen gebruikt voor het maken van kleine aanpassingen.Dit elimineert problemen welke zich voor kunnen doen als men radius compensatie gebruikt bij kleine bewegingen. Kies daarvoor een waarde vlak bij nul voor de freesdiameter in de gereedschapmap van het besturingssysteem.</t>
  </si>
  <si>
    <t>Correcte draadfreesdiameter direct</t>
  </si>
  <si>
    <t>Frese a filettare ad inserti  intercambiabili</t>
  </si>
  <si>
    <t>Staal, gehard, &lt; 65 HRC</t>
  </si>
  <si>
    <t>Selles programmis kasutatakse instrumendi kompenseerimist ainult väiksemateks muudatusteks. See kõrvaldab probleemid mis avalduvad kui kasutatakse raadiuse kompenseerimist lühikesel liikumisel. Seetõttu kasuta nulli lähedast väärtust freesil töötlemis andmete kontroll süsteemis.</t>
  </si>
  <si>
    <t>Õige keerme läbimõõt koheselt</t>
  </si>
  <si>
    <t>Freesid ühe või kahe hambaga lõikeserva kohta</t>
  </si>
  <si>
    <t>Escolha língua no canto direito embaixo e faça depois suas escolhas nas quatro linhas e preencha os quatro primeiros quadrados.Com a informação preenchida o programa recomendara materiais adequados. Quando você tiver escolhido o material que será usado, vários dados serão revelados, como: informações sobre o material; dados recomendados; quantidade de tempo para a peça ficar pronta e agora você pode também ver o programa que facilmente pode ser copiado para outro arquivo. Os outro seis quadrados só devem ser preenchidos se os dados recomendados não forem aceitos.</t>
  </si>
  <si>
    <t>CNC programa para Fagor</t>
  </si>
  <si>
    <t>CNC programa para Mazak</t>
  </si>
  <si>
    <t>CNC programa para Mitsubishi</t>
  </si>
  <si>
    <t>Fresa de rosca</t>
  </si>
  <si>
    <t>Leia antes de usar</t>
  </si>
  <si>
    <t>Atenção!</t>
  </si>
  <si>
    <t>Программа ЧПУ для Fagor</t>
  </si>
  <si>
    <t>Программа ЧПУ для Mazak</t>
  </si>
  <si>
    <t>Aluminium, gelegeerd, &gt; 10% Si</t>
  </si>
  <si>
    <t>Grafiet</t>
  </si>
  <si>
    <t>Koper, Brons, &lt; 700 N/mm2</t>
  </si>
  <si>
    <t>Koper, extra sterk Brons, &lt; 1500 N/mm2</t>
  </si>
  <si>
    <t>Aluminium, ongelegeerd</t>
  </si>
  <si>
    <t>Aluminium, gelegeerd, &lt; 0.5% Si</t>
  </si>
  <si>
    <t>Aluminium, gelegeerd, &lt; 10% Si</t>
  </si>
  <si>
    <t>Ferro fundido, lamina de grafite &lt; 1000 N/mm2</t>
  </si>
  <si>
    <t>Ferro fundido, graf. Esfer., maleável, &lt; 700 N/mm2</t>
  </si>
  <si>
    <t>Ferro fundido, graf. Esfer., maleável,&lt; 1000 N/mm2</t>
  </si>
  <si>
    <t>Inoxidável, fácil de mecanizar</t>
  </si>
  <si>
    <t>Inoxidável, austenitico</t>
  </si>
  <si>
    <t>Inoxidável, ferritico e austenitico</t>
  </si>
  <si>
    <t>Níquel, alegado, &lt; 1250 N/mm2</t>
  </si>
  <si>
    <t>Cobre, não alegado, &lt; 350 N/mm2</t>
  </si>
  <si>
    <t>Cobre, lata, bronze, &lt; 700 N/mm2</t>
  </si>
  <si>
    <t>Cobre, bronze de alta resistência, &lt; 1500 N/mm2</t>
  </si>
  <si>
    <t>Alumínio, não alegado</t>
  </si>
  <si>
    <t>Acciai temperati , &lt; 65 HRC</t>
  </si>
  <si>
    <t>Kies een gebruikerstaal rechts onderaan het drop-down menu en vul vervolgens de de eerste vier vakken in. Met behulp van deze informatie zal het programma een aanbevolen lijst van frezen presenteren. Als u een van de frezen kiest zal informatie over de frees worden getoond inclusief aanbevolen snijgegevens en tijd om de draad te produceren. Het complete CNC programma zal ook getoond worden. Het CNC programma kan door kopieren en plakken in uw CNC file worden ingelezen. De andere 6 velden worden alleen gevuld als u de aangeboden gegevens niet accepteert.</t>
  </si>
  <si>
    <t>Gereedschap compensatie</t>
  </si>
  <si>
    <t>Titanio legato, &lt; 900 N/mm3</t>
  </si>
  <si>
    <t>Titanio legato, &lt; 1250 N/mm3</t>
  </si>
  <si>
    <t>NPTF – сухая, коническая трубная резьба</t>
  </si>
  <si>
    <t>NPSF – трубная резьба</t>
  </si>
  <si>
    <t>PG – резьба из армированного материала</t>
  </si>
  <si>
    <t>Сталь, низкоуглеродистая, &lt; 0,25% С, &lt; 400 Н/мм2</t>
  </si>
  <si>
    <t>Сталь, высокоуглеродистая, &lt; 0,85% С, &lt; 850 Н/мм2</t>
  </si>
  <si>
    <t>Сталь, низколегированный сплав, &lt; 850 Н/мм2</t>
  </si>
  <si>
    <t>Сталь, высоколегированный сплав, &lt; 1200 Н/мм2</t>
  </si>
  <si>
    <t>Сталь, закаленная, &lt; 45 HRC (твёрдость по шкале С Роквелла)</t>
  </si>
  <si>
    <t>Сталь, закаленная, &lt; 55 HRC (твёрдость по шкале С Роквелла)</t>
  </si>
  <si>
    <t>Filettature coniche</t>
  </si>
  <si>
    <t>Numero de passadas, radial (max 3)</t>
  </si>
  <si>
    <t>Numero de passadas, axial</t>
  </si>
  <si>
    <t>N = Velocidade de giro (v/min)</t>
  </si>
  <si>
    <t>T = tempo para fresar a rosca (segundos)</t>
  </si>
  <si>
    <t>CNC programa para Fanuc</t>
  </si>
  <si>
    <t>低炭素鋼, &lt; 0,25% C, &lt; 400 N/mm2</t>
    <rPh sb="0" eb="1">
      <t/>
    </rPh>
    <rPh sb="1" eb="3">
      <t/>
    </rPh>
    <rPh sb="3" eb="4">
      <t/>
    </rPh>
    <phoneticPr fontId="4"/>
  </si>
  <si>
    <t>Speciaalgereedschap</t>
  </si>
  <si>
    <t>Fresas com cintura</t>
  </si>
  <si>
    <t>CNC programa para Siemens</t>
  </si>
  <si>
    <t>CNC programa para Num</t>
  </si>
  <si>
    <t>Fresas com um ou dois dentes (na longitude)</t>
  </si>
  <si>
    <t>Aço, carbono baixo , &lt; 0,25% C, &lt; 400 N/mm2</t>
  </si>
  <si>
    <t>Aço, carbono médio, &lt; 0,55% C, &lt; 700 N/mm2</t>
  </si>
  <si>
    <t>G - Whitworth rörgänga</t>
  </si>
  <si>
    <t>Certo diâmetro diretamente</t>
  </si>
  <si>
    <t>Innvendig gjengefresing i fresemaskin</t>
  </si>
  <si>
    <t>Innvendig gjengefresing i dreiebenk med drevne verktøy</t>
  </si>
  <si>
    <t>D = draad diameter (mm)</t>
  </si>
  <si>
    <t>P = spoed (mm)</t>
  </si>
  <si>
    <t>Compensação do material</t>
  </si>
  <si>
    <t>Русский (ryska)</t>
  </si>
  <si>
    <t>Titanium, gelegeerd, &lt; 1250 N/mm2</t>
  </si>
  <si>
    <t>Nikkel, ongelegeerd, &lt; 500 N/mm2</t>
  </si>
  <si>
    <t>Nikkel, gelegeerd, &lt; 900 N/mm2</t>
  </si>
  <si>
    <t>Nikkel, gelegeerd, &lt; 1250 N/mm2</t>
  </si>
  <si>
    <t>Koper, ongelegeerd, &lt; 350 N/mm2</t>
  </si>
  <si>
    <t>Aço, alegado baixo,  &lt; 850 N/mm2</t>
  </si>
  <si>
    <t>Stål, høylegert, &lt;1200N/mm2</t>
  </si>
  <si>
    <t>Stål, herdet, &lt;45HRC</t>
  </si>
  <si>
    <t>Stål, herdet, &lt; 55HRC</t>
  </si>
  <si>
    <t>Aço, alegado alto,  &lt; 1200 N/mm2</t>
  </si>
  <si>
    <t>Stål, herdet, &lt; 65HRC</t>
  </si>
  <si>
    <t>Støpejern, &lt;500N/mm2</t>
  </si>
  <si>
    <t>Aço, templado, &lt; 45 HRC</t>
  </si>
  <si>
    <t>Aço, templado, &lt; 55 HRC</t>
  </si>
  <si>
    <t>Aço, templado, &lt; 65 HRC</t>
  </si>
  <si>
    <t>Ferro fundido, lamina de grafite, &lt; 500 N/mm2</t>
  </si>
  <si>
    <t>PG - Panserrørgjenge</t>
  </si>
  <si>
    <t>Neste programa a compensação do material só é usada em casos de ajustamentos pequenos. Isto eliminará problemas que podem ocorrer quando se usa compensação radial para movimentos curtos. Ponha por isso um valor prócimo a zero na bibliotéca do controle numérico..</t>
  </si>
  <si>
    <t>Сталь, закаленная, &lt; 65 HRC (твёрдость по шкале С Роквелла)</t>
  </si>
  <si>
    <t>Чугун, пластинчатый графит, &lt; 500 Н/мм2</t>
  </si>
  <si>
    <t>Чугун, пластинчатый графит, &lt; 1000 Н/мм2</t>
  </si>
  <si>
    <t>Чугун, сфероидальный графит, ковкий, &lt; 700 Н/мм2</t>
  </si>
  <si>
    <t>Чугун, сфероидальный графит, ковкий, &lt; 1000 Н/мм2</t>
  </si>
  <si>
    <t>Konische draad</t>
  </si>
  <si>
    <t>Медь, высокопрочная бронза, &lt; 1500 Н/мм2</t>
  </si>
  <si>
    <t>Алюминий, беспримесный</t>
  </si>
  <si>
    <t>Алюминий, сплавной, &lt; 0,5% Si</t>
  </si>
  <si>
    <t>Алюминий, сплавной, &lt; 10% Si</t>
  </si>
  <si>
    <t>Алюминий, сплавной, &gt; 10% Si</t>
  </si>
  <si>
    <t>Инконель 718</t>
  </si>
  <si>
    <t>Графит</t>
  </si>
  <si>
    <t>D = диаметр резьбы (мм)</t>
  </si>
  <si>
    <t>P = шаг (мм)</t>
  </si>
  <si>
    <t>d = диаметр резака (мм)</t>
  </si>
  <si>
    <t>l = длина режущего края (мм)</t>
  </si>
  <si>
    <t>z = количество бороздок</t>
  </si>
  <si>
    <t>V = скорость резки (м/мин.)</t>
  </si>
  <si>
    <t>Fz = подача/зубец (мм/зубец)</t>
  </si>
  <si>
    <t>CNC program for Mazakj</t>
  </si>
  <si>
    <t>Gjengefresing</t>
  </si>
  <si>
    <t>Количество прогонов, радиальных (макс. 3)</t>
  </si>
  <si>
    <t>Количество прогонов, осевых</t>
  </si>
  <si>
    <t>N = скорость вращения шпинделя (об./мин.)</t>
  </si>
  <si>
    <t>FD = подача при диаметре резьбы (мм/мин.)</t>
  </si>
  <si>
    <t>Fd = подача в центре фрезы (мм/мин.)</t>
  </si>
  <si>
    <r>
      <t xml:space="preserve">P = </t>
    </r>
    <r>
      <rPr>
        <sz val="9"/>
        <rFont val="돋움"/>
        <family val="3"/>
      </rPr>
      <t>피치</t>
    </r>
    <r>
      <rPr>
        <sz val="9"/>
        <rFont val="Verdana"/>
        <family val="2"/>
      </rPr>
      <t xml:space="preserve"> (mm)</t>
    </r>
  </si>
  <si>
    <r>
      <t xml:space="preserve">P = </t>
    </r>
    <r>
      <rPr>
        <sz val="9"/>
        <rFont val="돋움"/>
        <family val="3"/>
      </rPr>
      <t>피치</t>
    </r>
    <r>
      <rPr>
        <sz val="9"/>
        <rFont val="Verdana"/>
        <family val="2"/>
      </rPr>
      <t xml:space="preserve"> (TPI)</t>
    </r>
  </si>
  <si>
    <t>Резьбофрезерование</t>
  </si>
  <si>
    <t>Программа ЧПУ для Mitsubishi</t>
  </si>
  <si>
    <t>FD = avance em Øda rosca (mm/min)</t>
  </si>
  <si>
    <t>Fd = avance centro da fresa (mm/min)</t>
  </si>
  <si>
    <t>ＮＰＳＦ管用ねじ</t>
    <rPh sb="4" eb="6">
      <t/>
    </rPh>
    <phoneticPr fontId="4"/>
  </si>
  <si>
    <t>ＰＧねじ</t>
    <phoneticPr fontId="4"/>
  </si>
  <si>
    <t>高炭素鋼, &lt; 0,85% C, &lt; 850 N/mm2</t>
    <rPh sb="0" eb="1">
      <t/>
    </rPh>
    <rPh sb="1" eb="3">
      <t/>
    </rPh>
    <rPh sb="3" eb="4">
      <t/>
    </rPh>
    <phoneticPr fontId="4"/>
  </si>
  <si>
    <t>低合金鋼, &lt; 850 N/mm2</t>
    <rPh sb="0" eb="1">
      <t/>
    </rPh>
    <rPh sb="1" eb="3">
      <t/>
    </rPh>
    <rPh sb="3" eb="4">
      <t/>
    </rPh>
    <phoneticPr fontId="4"/>
  </si>
  <si>
    <t>Se a fresa tiver uma longitude de corte que seja mais curta do que a longitude da rosca, o programa automaticamente fará o certo número de roscas.</t>
  </si>
  <si>
    <t>Fresas com placas</t>
  </si>
  <si>
    <t>Alumínio, alegado, &lt; 0.5% Si</t>
  </si>
  <si>
    <t>Alumínio, alegado, &lt; 10% Si</t>
  </si>
  <si>
    <t>Alumínio, alegado &gt; 10% Si</t>
  </si>
  <si>
    <t>D = diâmetro da rosca (mm)</t>
  </si>
  <si>
    <t>z = quantidade de lábios</t>
  </si>
  <si>
    <t>V = velocidade de corte (m/min)</t>
  </si>
  <si>
    <t>Сталь, среднеуглеродистая, &lt; 0,55% С, &lt; 700 Н/мм2</t>
  </si>
  <si>
    <t>パス回数、ラジアル方向（最大３）</t>
    <rPh sb="2" eb="3">
      <t/>
    </rPh>
    <rPh sb="3" eb="4">
      <t/>
    </rPh>
    <rPh sb="9" eb="11">
      <t/>
    </rPh>
    <rPh sb="12" eb="14">
      <t/>
    </rPh>
    <phoneticPr fontId="4"/>
  </si>
  <si>
    <t>中炭素鋼、 &lt; 0,55% C, &lt; 700 N/mm2</t>
    <rPh sb="0" eb="1">
      <t/>
    </rPh>
    <rPh sb="1" eb="3">
      <t/>
    </rPh>
    <rPh sb="3" eb="4">
      <t/>
    </rPh>
    <phoneticPr fontId="4"/>
  </si>
  <si>
    <t>高合金鋼, &lt; 1200 N/mm2</t>
    <rPh sb="0" eb="1">
      <t/>
    </rPh>
    <rPh sb="1" eb="3">
      <t/>
    </rPh>
    <rPh sb="3" eb="4">
      <t/>
    </rPh>
    <phoneticPr fontId="4"/>
  </si>
  <si>
    <t>焼き入れ鋼, &lt; 45 HRC</t>
    <rPh sb="0" eb="1">
      <t/>
    </rPh>
    <phoneticPr fontId="4"/>
  </si>
  <si>
    <t>Como usar o programa</t>
  </si>
  <si>
    <t>T = время фрезерования резьбы (секунд)</t>
  </si>
  <si>
    <t>P = gangen (TPI)</t>
  </si>
  <si>
    <t>L = draadlengte (mm)</t>
  </si>
  <si>
    <t>d = frees diameter (mm)</t>
  </si>
  <si>
    <t xml:space="preserve">NPSF - rosca para canos </t>
  </si>
  <si>
    <t>l = lengte van de snijkant(mm)</t>
  </si>
  <si>
    <t>z = aantal tanden</t>
  </si>
  <si>
    <t>V = snijsnelheid (m/min)</t>
  </si>
  <si>
    <t>Fz = voeding/tand (mm/tand)</t>
  </si>
  <si>
    <t>Aantal stappen, radiaal (max 3)</t>
  </si>
  <si>
    <t>Aantal stappen, axiaal</t>
  </si>
  <si>
    <t>Программа ЧПУ для Fanuc</t>
  </si>
  <si>
    <t>Программа ЧПУ для Siemens</t>
  </si>
  <si>
    <t>Программа ЧПУ для Num</t>
  </si>
  <si>
    <t>G - Whitworth rørgevind</t>
  </si>
  <si>
    <t>G - Whitworth-Rohrgewinde</t>
  </si>
  <si>
    <t>G - Whitworth torukeere</t>
  </si>
  <si>
    <t>G - Whitworth Pipe Thread</t>
  </si>
  <si>
    <t>G - Whitworth, rosca de tubo</t>
  </si>
  <si>
    <t>G - Whitworth pijpdraad</t>
  </si>
  <si>
    <t>G - Whitworth rosca para canos</t>
  </si>
  <si>
    <t>G - Filet pentru tevi Whitworth</t>
  </si>
  <si>
    <t>Нержавеющая сталь, хорошая обрабатываемость</t>
  </si>
  <si>
    <t>Внутреннее резьбофрезерование в многоцелевом станке</t>
  </si>
  <si>
    <t>Внутреннее резьбофрезерование в токарном станке</t>
  </si>
  <si>
    <t>М – метрический</t>
  </si>
  <si>
    <t>G - Whitworth rorgjenge</t>
  </si>
  <si>
    <t>BSPT - konisk rørgjenge</t>
  </si>
  <si>
    <t>NPT - konisk rørgjenge</t>
  </si>
  <si>
    <t>NPTF - dryseal, konisk rørgjenge</t>
  </si>
  <si>
    <t>NPSF - rørgjenge</t>
  </si>
  <si>
    <t>Stål &lt;0,25%C, &lt;400N/mm2</t>
  </si>
  <si>
    <t>Stål, &lt;0,55%C, &lt;700N/mm2</t>
  </si>
  <si>
    <t>Stål, &lt;0,85%C, &lt;850N/mm2</t>
  </si>
  <si>
    <t>Aço, carbono alto, &lt; 0,85% C, &lt; 850 N/mm2</t>
  </si>
  <si>
    <t>Verktøy med 2 skjær (aksielt)</t>
  </si>
  <si>
    <t>Stål , lavlegert, &lt;850N/mm2</t>
  </si>
  <si>
    <t>De aangegeven freesdiameter is bij de tand het dichtst bij de schacht. Daarom moet de aan te geven draaddiameter daar zijn , waar het deel van de frees ingrijpt.</t>
  </si>
  <si>
    <t>terug</t>
  </si>
  <si>
    <t>Waarschuwing!</t>
  </si>
  <si>
    <t>Rosca interior em uma fresadora</t>
  </si>
  <si>
    <t xml:space="preserve">Rosca interior em uma torneadora </t>
  </si>
  <si>
    <t>com equipamento de movimento próprio</t>
  </si>
  <si>
    <t>M - Métrico</t>
  </si>
  <si>
    <t>BSPT - rosca para canos cônicos</t>
  </si>
  <si>
    <t>NPT - rosca para canos cônicos</t>
  </si>
  <si>
    <t>NPTF - dryseal, rosca para canos cônicos</t>
  </si>
  <si>
    <t>Медь, латунь, бронза, &lt; 700 Н/мм2</t>
  </si>
  <si>
    <r>
      <t>Fd=</t>
    </r>
    <r>
      <rPr>
        <sz val="9"/>
        <rFont val="ＭＳ Ｐゴシック"/>
        <family val="3"/>
        <charset val="128"/>
      </rPr>
      <t>カッタの中心での送り（</t>
    </r>
    <r>
      <rPr>
        <sz val="9"/>
        <rFont val="Verdana"/>
        <family val="2"/>
      </rPr>
      <t>mm/min)</t>
    </r>
    <rPh sb="7" eb="9">
      <t/>
    </rPh>
    <rPh sb="11" eb="12">
      <t/>
    </rPh>
    <phoneticPr fontId="4"/>
  </si>
  <si>
    <r>
      <t>T=</t>
    </r>
    <r>
      <rPr>
        <sz val="9"/>
        <rFont val="ＭＳ Ｐゴシック"/>
        <family val="3"/>
        <charset val="128"/>
      </rPr>
      <t>ねじの加工時間（秒）</t>
    </r>
    <rPh sb="5" eb="7">
      <t/>
    </rPh>
    <rPh sb="7" eb="9">
      <t/>
    </rPh>
    <rPh sb="10" eb="11">
      <t/>
    </rPh>
    <phoneticPr fontId="4"/>
  </si>
  <si>
    <t>ファナック用ＣＮＣプログラム</t>
    <rPh sb="5" eb="6">
      <t/>
    </rPh>
    <phoneticPr fontId="4"/>
  </si>
  <si>
    <t>ハイデンハイン用ＣＮＣプログラム</t>
    <rPh sb="7" eb="8">
      <t/>
    </rPh>
    <phoneticPr fontId="4"/>
  </si>
  <si>
    <t>シーメンス用ＣＮＣプログラム</t>
    <rPh sb="5" eb="6">
      <t/>
    </rPh>
    <phoneticPr fontId="4"/>
  </si>
  <si>
    <t>Num用ＣＮＣプログラム</t>
    <rPh sb="3" eb="4">
      <t/>
    </rPh>
    <phoneticPr fontId="4"/>
  </si>
  <si>
    <t>Fagor用プログラム</t>
    <rPh sb="5" eb="6">
      <t/>
    </rPh>
    <phoneticPr fontId="4"/>
  </si>
  <si>
    <t>マザック用プログラム</t>
    <rPh sb="4" eb="5">
      <t/>
    </rPh>
    <phoneticPr fontId="4"/>
  </si>
  <si>
    <t>ねじ切り</t>
    <rPh sb="2" eb="3">
      <t/>
    </rPh>
    <phoneticPr fontId="4"/>
  </si>
  <si>
    <t>ご使用前によくお読み下さい！</t>
    <rPh sb="1" eb="3">
      <t/>
    </rPh>
    <rPh sb="3" eb="4">
      <t/>
    </rPh>
    <rPh sb="8" eb="9">
      <t/>
    </rPh>
    <phoneticPr fontId="4"/>
  </si>
  <si>
    <t>日本語 (japanska)</t>
  </si>
  <si>
    <t>日本語</t>
  </si>
  <si>
    <t>O diâmetro da fresa é onde o diâmetro é maior. Por isso, ao se digitar o diâmetro, deve ser no lugar onde a parte da fresa que tem maior diâmetro começa a trabalhar a peça.</t>
  </si>
  <si>
    <t>volta</t>
  </si>
  <si>
    <t>Fz = avance/lábio (mm/dente)</t>
  </si>
  <si>
    <t>T = tid for å frese gjengen ( sekunder)</t>
  </si>
  <si>
    <t>CNC program for fanuc</t>
  </si>
  <si>
    <t>Støpejern, seigjern, aducergods, &lt;700N/mm2</t>
  </si>
  <si>
    <t xml:space="preserve"> L IZ+</t>
  </si>
  <si>
    <t xml:space="preserve"> L IX</t>
  </si>
  <si>
    <t xml:space="preserve"> TOOL CALL 1 Z S</t>
  </si>
  <si>
    <t xml:space="preserve"> L M3</t>
  </si>
  <si>
    <t xml:space="preserve"> L IZ</t>
  </si>
  <si>
    <t xml:space="preserve"> L IX+</t>
  </si>
  <si>
    <t xml:space="preserve"> CC IX+0 IY+</t>
  </si>
  <si>
    <t xml:space="preserve"> CP IPA+90 IZ+</t>
  </si>
  <si>
    <t xml:space="preserve"> CC IX</t>
  </si>
  <si>
    <t xml:space="preserve"> CP IPA+360 IZ+</t>
  </si>
  <si>
    <t>CNC program til Heidenhain</t>
  </si>
  <si>
    <t>Les før bruk</t>
  </si>
  <si>
    <t>Hvordanman bruker programmet</t>
  </si>
  <si>
    <r>
      <t>焼き入れ鋼</t>
    </r>
    <r>
      <rPr>
        <sz val="9"/>
        <rFont val="Verdana"/>
        <family val="2"/>
      </rPr>
      <t>, &lt; 55 HRC</t>
    </r>
    <rPh sb="0" eb="1">
      <t/>
    </rPh>
    <phoneticPr fontId="4"/>
  </si>
  <si>
    <r>
      <t>焼き入れ鋼</t>
    </r>
    <r>
      <rPr>
        <sz val="9"/>
        <rFont val="Verdana"/>
        <family val="2"/>
      </rPr>
      <t>, &lt; 65 HRC</t>
    </r>
    <r>
      <rPr>
        <b/>
        <sz val="10"/>
        <rFont val="Verdana"/>
        <family val="2"/>
      </rPr>
      <t/>
    </r>
    <rPh sb="0" eb="1">
      <t/>
    </rPh>
    <phoneticPr fontId="4"/>
  </si>
  <si>
    <t>鋳鉄、グラファイト薄板, &lt; 500 N/mm2</t>
    <rPh sb="0" eb="2">
      <t/>
    </rPh>
    <rPh sb="9" eb="11">
      <t/>
    </rPh>
    <phoneticPr fontId="4"/>
  </si>
  <si>
    <t>鋳鉄、グラファイト薄板、 &lt; 1000 N/mm2</t>
    <rPh sb="0" eb="2">
      <t/>
    </rPh>
    <rPh sb="9" eb="11">
      <t/>
    </rPh>
    <phoneticPr fontId="4"/>
  </si>
  <si>
    <t>ダクタイル鋳鉄、（マレーブル）, &lt; 700 N/mm2</t>
    <rPh sb="5" eb="7">
      <t/>
    </rPh>
    <phoneticPr fontId="4"/>
  </si>
  <si>
    <t>銅、真鍮、青銅, &lt; 700 N/mm2</t>
    <rPh sb="0" eb="1">
      <t/>
    </rPh>
    <rPh sb="2" eb="4">
      <t/>
    </rPh>
    <rPh sb="5" eb="7">
      <t/>
    </rPh>
    <phoneticPr fontId="4"/>
  </si>
  <si>
    <t>銅、高抗張力青銅, &lt; 1500 N/mm2</t>
    <rPh sb="0" eb="1">
      <t/>
    </rPh>
    <rPh sb="2" eb="3">
      <t/>
    </rPh>
    <rPh sb="3" eb="6">
      <t/>
    </rPh>
    <rPh sb="6" eb="8">
      <t/>
    </rPh>
    <phoneticPr fontId="4"/>
  </si>
  <si>
    <t>アルミ</t>
    <phoneticPr fontId="4"/>
  </si>
  <si>
    <t>ステンレス鋼（フェライト系、オーステナイト系）</t>
    <rPh sb="5" eb="6">
      <t/>
    </rPh>
    <rPh sb="12" eb="13">
      <t/>
    </rPh>
    <rPh sb="21" eb="22">
      <t/>
    </rPh>
    <phoneticPr fontId="4"/>
  </si>
  <si>
    <t>チタン, &lt; 700 N/mm2</t>
    <phoneticPr fontId="4"/>
  </si>
  <si>
    <t>チタン合金, &lt; 900 N/mm2</t>
    <rPh sb="3" eb="5">
      <t/>
    </rPh>
    <phoneticPr fontId="4"/>
  </si>
  <si>
    <t>チタン合金, &lt; 1250N/mm2</t>
    <rPh sb="3" eb="5">
      <t/>
    </rPh>
    <phoneticPr fontId="4"/>
  </si>
  <si>
    <t>ニッケル, &lt; 500 N/mm2</t>
    <phoneticPr fontId="4"/>
  </si>
  <si>
    <t>ニッケル合金、 &lt; 900 N/mm2</t>
    <rPh sb="4" eb="6">
      <t/>
    </rPh>
    <phoneticPr fontId="4"/>
  </si>
  <si>
    <t>Velg språk nederst på høyre side for deretter å gjøre ditt valg på i menyen, fyll i de fire første rutene. Med denne informasjonen kommer programmet i den siste menyen å gi deg forslag til et passende verktøy. Når du har valgt verktøy vises informasjon om verktøyet samt anbefalte skjærdata og den tid det tar å gjøre gjengen. I tillegg vises CNC programmet. Dette kan kopieres og limes inn på din CNC fil. De øvrige 6 rutene fylles ut hvis du ikke aksepterer informasjonen.</t>
  </si>
  <si>
    <t>Verktøy kompensering</t>
  </si>
  <si>
    <t>Пожалуйста, прочитайте перед использованием!</t>
  </si>
  <si>
    <t>UN – унифицированный</t>
  </si>
  <si>
    <t>G – трубная резьба Витворта</t>
  </si>
  <si>
    <t>BSPT – коническая трубная резьба</t>
  </si>
  <si>
    <t>NPT –  коническая трубная резьба</t>
  </si>
  <si>
    <t>Os dados apresentados são apenas recomendações de inicio. São vários os fatores que devem ser considerados e consequentemente ajustamentos serão necessários. Por exemplo: estabilidade da maquina, materiais envolvidos, etc. SmiCut não se responsabiliza por danos causados pelo uso do programa ou dados recomendados.</t>
  </si>
  <si>
    <t>アルミ合金, &lt; 0.5% Si</t>
    <rPh sb="3" eb="5">
      <t/>
    </rPh>
    <phoneticPr fontId="4"/>
  </si>
  <si>
    <t>アルミ合金, &lt; 10% Si</t>
    <rPh sb="3" eb="5">
      <t/>
    </rPh>
    <phoneticPr fontId="4"/>
  </si>
  <si>
    <t>programa CNC para Heidenhain</t>
  </si>
  <si>
    <t>CNC programme pour Heidnehain</t>
  </si>
  <si>
    <t>Programma CNC per Heidenhain</t>
  </si>
  <si>
    <t>CNC programma voor Heidenhain</t>
  </si>
  <si>
    <t xml:space="preserve"> Program CNC dla Heidenhaina</t>
  </si>
  <si>
    <t>CNC programa para Heidenhain</t>
  </si>
  <si>
    <t>CNC ohjelma Haidenhainille</t>
  </si>
  <si>
    <t>CNC program för Heidenhain</t>
  </si>
  <si>
    <t>Программа ЧПУ для Heidenhain</t>
  </si>
  <si>
    <t>Program CNC pentru Heidenhain</t>
  </si>
  <si>
    <t>NPTF - Drobnozwojowy, gwint do rur</t>
  </si>
  <si>
    <t>NPSP - Gwint do rur</t>
  </si>
  <si>
    <t>PG - Gwint do rurek instalacyjnych</t>
  </si>
  <si>
    <t>Fresens skjærdiameter som angis er ved gjengen nærmest skaftet. Derfor må gjengens diameter som angis være der denne delen av verktøyet går i inngrep.</t>
  </si>
  <si>
    <t>Med dette programmet anvendes verkøykompensering kun for mindre justeringer. Dette elimenerer problem som kan oppstå når man anvender radiekompensering på korte forflyttninger. Angi derfor en verdi nære null for fresens diameter i verkøybiblioteket i styresystemet.</t>
  </si>
  <si>
    <t>Riktig gjengediameter direkte</t>
  </si>
  <si>
    <t>Spesialverktøy</t>
  </si>
  <si>
    <t>Verktøy med skaftreduksjon</t>
  </si>
  <si>
    <t>112, 1 pass, flera pass axiellt, Heidenhain</t>
  </si>
  <si>
    <t>32, 3 pass Heidenhain</t>
  </si>
  <si>
    <t>22, 2 pass Heidenhain</t>
  </si>
  <si>
    <t>12, 1 pass Heidenhain</t>
  </si>
  <si>
    <t xml:space="preserve"> FN 0: Q1 =+</t>
  </si>
  <si>
    <t xml:space="preserve"> LBL 101</t>
  </si>
  <si>
    <t xml:space="preserve"> FN 1: Q2 =+Q2 + +1</t>
  </si>
  <si>
    <t xml:space="preserve"> FN 12: IF +Q2 LT +Q1 GOTO LBL 101</t>
  </si>
  <si>
    <t>Om verktøyets skjærlengde er kortere enn gjengelengden kommer programmet automatisk å gjøre gjengen i nødvendig antall aksielle kutt.</t>
  </si>
  <si>
    <t>Materiais especiais</t>
  </si>
  <si>
    <t>Нержавеющая сталь, аустенитная</t>
  </si>
  <si>
    <t>Нержавеющая сталь, ферритная и аустенитная</t>
  </si>
  <si>
    <t>Титан, беспримесный, &lt; 700 Н/мм2</t>
  </si>
  <si>
    <t>Титан, сплавной, &lt; 900 Н/мм2</t>
  </si>
  <si>
    <t>Титан, сплавной, &lt; 1250 Н/мм2</t>
  </si>
  <si>
    <t>Никель, беспримесный, &lt; 500 Н/мм2</t>
  </si>
  <si>
    <t>Никель, сплавной, &lt; 900 Н/мм2</t>
  </si>
  <si>
    <t>Никель, сплавной, &lt; 1250 Н/мм2</t>
  </si>
  <si>
    <t>Медь, беспримесная, &lt; 350 Н/мм2</t>
  </si>
  <si>
    <t>内径ねじ切り（マシニングセンタ）</t>
    <rPh sb="0" eb="2">
      <t/>
    </rPh>
    <rPh sb="4" eb="5">
      <t/>
    </rPh>
    <phoneticPr fontId="4"/>
  </si>
  <si>
    <t>P = шаг (витков на дюйм)</t>
  </si>
  <si>
    <t>L = длина резьбы (мм)</t>
  </si>
  <si>
    <t>Rustfritt stål, ferrittisk</t>
  </si>
  <si>
    <t>Titan, ulegert, &lt;700N/mm2</t>
  </si>
  <si>
    <t>Titan, legert, &lt;900N/mm2</t>
  </si>
  <si>
    <t>Titan, legert, &lt;1250N/mm2</t>
  </si>
  <si>
    <t>三菱用プログラム</t>
    <rPh sb="0" eb="2">
      <t/>
    </rPh>
    <rPh sb="2" eb="3">
      <t/>
    </rPh>
    <phoneticPr fontId="4"/>
  </si>
  <si>
    <t>内径ねじ切り（旋盤）</t>
    <rPh sb="0" eb="2">
      <t/>
    </rPh>
    <rPh sb="4" eb="5">
      <t/>
    </rPh>
    <rPh sb="7" eb="8">
      <t/>
    </rPh>
    <rPh sb="8" eb="9">
      <t/>
    </rPh>
    <phoneticPr fontId="4"/>
  </si>
  <si>
    <t>ファナック</t>
    <phoneticPr fontId="4"/>
  </si>
  <si>
    <t>ハイデンハイン</t>
    <phoneticPr fontId="4"/>
  </si>
  <si>
    <t>シーメンス</t>
    <phoneticPr fontId="4"/>
  </si>
  <si>
    <t>マザック</t>
    <phoneticPr fontId="4"/>
  </si>
  <si>
    <t>三菱</t>
    <phoneticPr fontId="4"/>
  </si>
  <si>
    <t>メートルねじ</t>
    <phoneticPr fontId="4"/>
  </si>
  <si>
    <t>ユニファイねじ</t>
    <phoneticPr fontId="4"/>
  </si>
  <si>
    <t>ウィットワースねじ</t>
    <phoneticPr fontId="4"/>
  </si>
  <si>
    <t>管用テーパねじ（ＢＳＰＴ）</t>
    <rPh sb="0" eb="2">
      <t/>
    </rPh>
    <phoneticPr fontId="4"/>
  </si>
  <si>
    <t>ナショナル管用テーパねじ（ＮＰＴ）</t>
    <rPh sb="5" eb="7">
      <t/>
    </rPh>
    <phoneticPr fontId="4"/>
  </si>
  <si>
    <t>ＮＰＴＦドライシールねじ</t>
    <phoneticPr fontId="4"/>
  </si>
  <si>
    <t>Fresas cônicas</t>
  </si>
  <si>
    <t>Fz = mating/tand (mm/tand)</t>
  </si>
  <si>
    <t>antall kutt, radielt (max 3)</t>
  </si>
  <si>
    <t>antall kutt aksielt</t>
  </si>
  <si>
    <t>N = o/min</t>
  </si>
  <si>
    <t>FD = mating ved gjengens Ø (mm/min)</t>
  </si>
  <si>
    <t>Fd = mating in fresens senter ( mm/min)</t>
  </si>
  <si>
    <t>Gjengefreser med vendeskjær</t>
  </si>
  <si>
    <t>Koniske gjenger</t>
  </si>
  <si>
    <t>CNC Programm für Heidenhain</t>
  </si>
  <si>
    <t>Støpejern, seigjern, aducergods, &lt;1000N/mm2</t>
  </si>
  <si>
    <t>Rustfritt automatstål</t>
  </si>
  <si>
    <t>銅、 &lt; 350 N/mm2</t>
    <rPh sb="0" eb="1">
      <t/>
    </rPh>
    <phoneticPr fontId="4"/>
  </si>
  <si>
    <t>Angitte skjærdata er anbefalte verdier. Det er mange faktorer som kan medføre justeringer, f.eks maskinstabilitet, verktøysystemer etc. SmiCut tar ikke ansvar for skader som kan oppstå når man anvender CNC programmet eller skjærdata fra databasen.</t>
  </si>
  <si>
    <t>Støpejern, &lt;1000N/mm2</t>
  </si>
  <si>
    <t>Rustfritt stål, austenittisk</t>
  </si>
  <si>
    <t>한국어</t>
  </si>
  <si>
    <t>한국어 (KOREANSKA)</t>
  </si>
  <si>
    <t>ダクタイル鋳鉄、（マレーブル）, &lt; 1000 N/mm2</t>
    <rPh sb="5" eb="7">
      <t/>
    </rPh>
    <phoneticPr fontId="4"/>
  </si>
  <si>
    <t>ステンレス鋼、快削系</t>
    <rPh sb="5" eb="6">
      <t/>
    </rPh>
    <rPh sb="7" eb="8">
      <t/>
    </rPh>
    <rPh sb="8" eb="9">
      <t/>
    </rPh>
    <rPh sb="9" eb="10">
      <t/>
    </rPh>
    <phoneticPr fontId="4"/>
  </si>
  <si>
    <t>ステンレス鋼（オーステナイト系）</t>
    <rPh sb="5" eb="6">
      <t/>
    </rPh>
    <rPh sb="14" eb="15">
      <t/>
    </rPh>
    <phoneticPr fontId="4"/>
  </si>
  <si>
    <t>10012, 1 pass, konisk, Heidenhain</t>
  </si>
  <si>
    <t xml:space="preserve"> IY+</t>
  </si>
  <si>
    <t xml:space="preserve"> CC IX+</t>
  </si>
  <si>
    <t>ニッケル合金、 &lt; 1250 N/mm3</t>
    <rPh sb="4" eb="6">
      <t/>
    </rPh>
    <phoneticPr fontId="4"/>
  </si>
  <si>
    <t>The program don´t accept your choice.</t>
  </si>
  <si>
    <t>Please, test with other values.</t>
  </si>
  <si>
    <t>アルミ合金, &gt; 10% Si</t>
    <rPh sb="3" eb="5">
      <t/>
    </rPh>
    <phoneticPr fontId="4"/>
  </si>
  <si>
    <t>インコネル718</t>
    <phoneticPr fontId="4"/>
  </si>
  <si>
    <t>グラファイト</t>
    <phoneticPr fontId="4"/>
  </si>
  <si>
    <t>Ｄ＝ねじ径（㎜）</t>
    <rPh sb="4" eb="5">
      <t/>
    </rPh>
    <phoneticPr fontId="4"/>
  </si>
  <si>
    <t>Ｐ＝ピッチ（㎜）</t>
    <phoneticPr fontId="4"/>
  </si>
  <si>
    <t>Ｐ＝ピッチ（山数）</t>
    <rPh sb="6" eb="7">
      <t/>
    </rPh>
    <rPh sb="7" eb="8">
      <t/>
    </rPh>
    <phoneticPr fontId="4"/>
  </si>
  <si>
    <t>Ｌ＝ねじ長さ（㎜）</t>
    <rPh sb="4" eb="5">
      <t/>
    </rPh>
    <phoneticPr fontId="4"/>
  </si>
  <si>
    <r>
      <t>d=</t>
    </r>
    <r>
      <rPr>
        <sz val="9"/>
        <rFont val="ＭＳ Ｐゴシック"/>
        <family val="3"/>
        <charset val="128"/>
      </rPr>
      <t>カッタ径（㎜）</t>
    </r>
    <rPh sb="5" eb="6">
      <t/>
    </rPh>
    <phoneticPr fontId="4"/>
  </si>
  <si>
    <r>
      <t>l=</t>
    </r>
    <r>
      <rPr>
        <sz val="9"/>
        <rFont val="ＭＳ Ｐゴシック"/>
        <family val="3"/>
        <charset val="128"/>
      </rPr>
      <t>有効刃長（㎜）</t>
    </r>
    <rPh sb="2" eb="4">
      <t/>
    </rPh>
    <rPh sb="4" eb="5">
      <t/>
    </rPh>
    <rPh sb="5" eb="6">
      <t/>
    </rPh>
    <phoneticPr fontId="4"/>
  </si>
  <si>
    <r>
      <t>z=</t>
    </r>
    <r>
      <rPr>
        <sz val="9"/>
        <rFont val="ＭＳ Ｐゴシック"/>
        <family val="3"/>
        <charset val="128"/>
      </rPr>
      <t>刃数</t>
    </r>
    <rPh sb="2" eb="3">
      <t/>
    </rPh>
    <rPh sb="3" eb="4">
      <t/>
    </rPh>
    <phoneticPr fontId="4"/>
  </si>
  <si>
    <r>
      <t>V=</t>
    </r>
    <r>
      <rPr>
        <sz val="9"/>
        <rFont val="ＭＳ Ｐゴシック"/>
        <family val="3"/>
        <charset val="128"/>
      </rPr>
      <t>切削速度</t>
    </r>
    <r>
      <rPr>
        <sz val="9"/>
        <rFont val="Verdana"/>
        <family val="2"/>
      </rPr>
      <t>(m/min)</t>
    </r>
    <rPh sb="2" eb="4">
      <t/>
    </rPh>
    <rPh sb="4" eb="6">
      <t/>
    </rPh>
    <phoneticPr fontId="4"/>
  </si>
  <si>
    <r>
      <t>Fz=</t>
    </r>
    <r>
      <rPr>
        <sz val="9"/>
        <rFont val="ＭＳ Ｐゴシック"/>
        <family val="3"/>
        <charset val="128"/>
      </rPr>
      <t>一刃当たり送り（</t>
    </r>
    <r>
      <rPr>
        <sz val="9"/>
        <rFont val="Verdana"/>
        <family val="2"/>
      </rPr>
      <t>mm/</t>
    </r>
    <r>
      <rPr>
        <sz val="9"/>
        <rFont val="ＭＳ Ｐゴシック"/>
        <family val="3"/>
        <charset val="128"/>
      </rPr>
      <t>刃）</t>
    </r>
    <rPh sb="3" eb="4">
      <t/>
    </rPh>
    <rPh sb="4" eb="5">
      <t/>
    </rPh>
    <rPh sb="5" eb="6">
      <t/>
    </rPh>
    <rPh sb="8" eb="9">
      <t/>
    </rPh>
    <rPh sb="14" eb="15">
      <t/>
    </rPh>
    <phoneticPr fontId="4"/>
  </si>
  <si>
    <t>パス回数、アキシャル方向</t>
    <rPh sb="2" eb="3">
      <t/>
    </rPh>
    <rPh sb="3" eb="4">
      <t/>
    </rPh>
    <rPh sb="10" eb="12">
      <t/>
    </rPh>
    <phoneticPr fontId="4"/>
  </si>
  <si>
    <r>
      <t>N=</t>
    </r>
    <r>
      <rPr>
        <sz val="9"/>
        <rFont val="ＭＳ Ｐゴシック"/>
        <family val="3"/>
        <charset val="128"/>
      </rPr>
      <t>回転数（ｒｐｍ）</t>
    </r>
    <rPh sb="2" eb="4">
      <t/>
    </rPh>
    <rPh sb="4" eb="5">
      <t/>
    </rPh>
    <phoneticPr fontId="4"/>
  </si>
  <si>
    <r>
      <t>FD=</t>
    </r>
    <r>
      <rPr>
        <sz val="9"/>
        <rFont val="ＭＳ Ｐゴシック"/>
        <family val="3"/>
        <charset val="128"/>
      </rPr>
      <t>ねじ径の送り（ｍｍ</t>
    </r>
    <r>
      <rPr>
        <sz val="9"/>
        <rFont val="Verdana"/>
        <family val="2"/>
      </rPr>
      <t>)</t>
    </r>
    <rPh sb="5" eb="6">
      <t/>
    </rPh>
    <rPh sb="7" eb="8">
      <t/>
    </rPh>
    <phoneticPr fontId="4"/>
  </si>
  <si>
    <t>G - Whitworth putkikierre</t>
  </si>
  <si>
    <t>M - Metrinen</t>
  </si>
  <si>
    <t>UN - Kierre</t>
  </si>
  <si>
    <t>BSPT - kartioputkikierre</t>
  </si>
  <si>
    <t>NPT - kartioputkikierre</t>
  </si>
  <si>
    <t>NPTF - dryseal, kartioputkikierre</t>
  </si>
  <si>
    <t>NPSF - putkikierre</t>
  </si>
  <si>
    <t>PG - Panssariputkikierre</t>
  </si>
  <si>
    <t>M - Metryczne</t>
  </si>
  <si>
    <t>UN - Zunifikowany</t>
  </si>
  <si>
    <t xml:space="preserve">G - Gwint do rur Whitworth'a </t>
  </si>
  <si>
    <t>BSPT - Stożkowy gwint do rur</t>
  </si>
  <si>
    <t>NPT - Stożkowy gwint do rur</t>
  </si>
  <si>
    <t>CNC programm Heidenhain</t>
  </si>
  <si>
    <t>CNC program for Heidenhain</t>
  </si>
  <si>
    <t>Heidenhain</t>
  </si>
  <si>
    <t xml:space="preserve"> RL F</t>
  </si>
  <si>
    <t xml:space="preserve"> IY+0</t>
  </si>
  <si>
    <t>Nikkel, ulegert, &lt;500N/mm2</t>
  </si>
  <si>
    <t>Nikkel, legert, &lt;900N/mm2</t>
  </si>
  <si>
    <t>Nikkel, legert, &lt;1250N/mm2</t>
  </si>
  <si>
    <t>Kobber, ulegert, &lt;350N/mm2</t>
  </si>
  <si>
    <t>Kobber, messing, bronse, &lt;700N/mm2</t>
  </si>
  <si>
    <t>Kobber, bronse, høy bruddstyrke, &lt;1500N/mm2</t>
  </si>
  <si>
    <t>Aluminium, ulegert</t>
  </si>
  <si>
    <t>Aluminium, legert, &lt;0,5% Si</t>
  </si>
  <si>
    <t>Aluminium, legert, &lt;10%Si</t>
  </si>
  <si>
    <t>Aluminium, legert, &gt;10%Si</t>
  </si>
  <si>
    <t>Grafitt</t>
  </si>
  <si>
    <t>D = gjengens diameter</t>
  </si>
  <si>
    <t xml:space="preserve">P = stigning (mm) </t>
  </si>
  <si>
    <t>L = gjengens lengde (mm)</t>
  </si>
  <si>
    <t>d = fresens skjærdiameter (mm)</t>
  </si>
  <si>
    <t>l = fresens skjærlengde (mm)</t>
  </si>
  <si>
    <t>z = antall skjær</t>
  </si>
  <si>
    <t>V = skjærhastighet (m/min)</t>
  </si>
  <si>
    <t>Ändra antal artikelpositioner</t>
  </si>
  <si>
    <t>OBS!</t>
  </si>
  <si>
    <t>samt C22 till C24.</t>
  </si>
  <si>
    <t>Förläng följande kolumner:</t>
  </si>
  <si>
    <t>Magyar</t>
  </si>
  <si>
    <t>Euskera</t>
  </si>
  <si>
    <t>Barrukoa fresatzaile batengan hariztatua</t>
  </si>
  <si>
    <t>Barrukoa tornu batean hariztatua</t>
  </si>
  <si>
    <t>Heidenhein</t>
  </si>
  <si>
    <t>M - Metrikoa</t>
  </si>
  <si>
    <t>G - tutuaren harizta Whithworth</t>
  </si>
  <si>
    <t>BSPT - tutuaren harizta konikoa</t>
  </si>
  <si>
    <t>NPT - tutuaren harizta konikoa</t>
  </si>
  <si>
    <t>NPTF - tutuaren harizta konikoa, Dryseal</t>
  </si>
  <si>
    <t>NPSF - tutuaren harizta</t>
  </si>
  <si>
    <t>PG - Pansarrohrgewinde</t>
  </si>
  <si>
    <t>Altzairu, Karbono gutxi, &lt; 0,25% C, &lt; 400 N/mm2</t>
  </si>
  <si>
    <t>Altzairu, Karbono erdi, &lt; 0,55% C, &lt; 700 N/mm2</t>
  </si>
  <si>
    <t>Altzairu, Karbono altu, &lt; 0,85% C, &lt; 850 N/mm2</t>
  </si>
  <si>
    <t>Altzairu, Aleazio baxu, &lt; 850 N/mm2</t>
  </si>
  <si>
    <t>Altzairu, Aleazio altu, &lt; 1200 N/mm2</t>
  </si>
  <si>
    <t>Altzairu, Epeldua, &lt; 45 HRC</t>
  </si>
  <si>
    <t>Altzairu, Epeldua, &lt; 55 HRC</t>
  </si>
  <si>
    <t>Altzairu, Epeldua, &lt; 65 HRC</t>
  </si>
  <si>
    <t>Burdin urtzea, Grafito laminarra, &lt; 500 N/mm2</t>
  </si>
  <si>
    <t>Burdin urtzea, Grafito laminarra, &lt; 1000 N/mm2</t>
  </si>
  <si>
    <t>Burdin urtzea, Esferoidal grafitoa, xaflakorra, &lt; 700 N/mm2</t>
  </si>
  <si>
    <t>Burdin urtzea, Esferoidal grafitoa, xaflakorra, &lt; 1000 N/mm2</t>
  </si>
  <si>
    <t xml:space="preserve">Altzairu herdoilgaitza, </t>
  </si>
  <si>
    <t>Altzairu herdoilgaitza, Austeniticoa</t>
  </si>
  <si>
    <t>Altzairu herdoilgaitza, Ferritico eta Austeniticoa</t>
  </si>
  <si>
    <t>Titanio, Aleatuta ez, &lt; 700 N/mm2</t>
  </si>
  <si>
    <t>Titanio, Aleatuta, &lt; 900 N/mm2</t>
  </si>
  <si>
    <t>Titanio, Aleatuta, &lt; 1250 N/mm2</t>
  </si>
  <si>
    <t>Nikel, Aleatuta ez, &lt; 500 N/mm2</t>
  </si>
  <si>
    <t>Nikel, Aleatuta, &lt; 900 N/mm2</t>
  </si>
  <si>
    <t>Nikel, Aleatuta, &lt; 1250 N/mm2</t>
  </si>
  <si>
    <t>Kobre, Aleatuta ez, &lt; 350 N/mm2</t>
  </si>
  <si>
    <t>Kobre, Letoia, Brontzea, &lt; 700 N/mm2</t>
  </si>
  <si>
    <t>Kobre, Erresistentzia altuko brontzea</t>
  </si>
  <si>
    <t>Aluminio, Aleatuta ez</t>
  </si>
  <si>
    <t>Aluminio, Aleatuta, &lt; 0,5% Si</t>
  </si>
  <si>
    <t>Aluminio, Aleatuta, &lt; 10% Si</t>
  </si>
  <si>
    <t>Aluminio, Aleatuta, &gt; 10% Si</t>
  </si>
  <si>
    <t>D = uztaiaren diametroa (mm)</t>
  </si>
  <si>
    <t>P = pasu (mm)</t>
  </si>
  <si>
    <t>P = pasu (TPI)</t>
  </si>
  <si>
    <t>L = uztaiaren longitudea (mm)</t>
  </si>
  <si>
    <t>d = Gortearen diametroa (mm)</t>
  </si>
  <si>
    <t>l = Gortearen longitudea (mm)</t>
  </si>
  <si>
    <t>z = Ebaki zenbakia</t>
  </si>
  <si>
    <t>V = Ebaki abiadura (m/min)</t>
  </si>
  <si>
    <t>Fz = aurrerapauso/hortza (mm/hortza)</t>
  </si>
  <si>
    <t>Iragaiteen zenbakia, erradiala (max 3)</t>
  </si>
  <si>
    <t>Iragaiteen zenbakia, axiala</t>
  </si>
  <si>
    <t>N = biraren abiadura (rpm)</t>
  </si>
  <si>
    <t>FD = uztaiako diametroan aurrerapausoa (mm/min)</t>
  </si>
  <si>
    <t>Fd = fresako erdian aurrerapausoa (mm/min)</t>
  </si>
  <si>
    <t>T = uztaia fresatu denbora (segunduak)</t>
  </si>
  <si>
    <t>CNC program for Fanuc-entzat</t>
  </si>
  <si>
    <t>CNC program for Heidenhein-entzat</t>
  </si>
  <si>
    <t>CNC program for Siemens-entzat</t>
  </si>
  <si>
    <t>CNC program for Num-entzat</t>
  </si>
  <si>
    <t>CNC program for Fagorrentzat</t>
  </si>
  <si>
    <t>CNC program for Mazak-entzat</t>
  </si>
  <si>
    <t>CNC program for Mitsubishi-entzat</t>
  </si>
  <si>
    <t>Uztaien fresatua</t>
  </si>
  <si>
    <t>Mesedez, erabili baino lehen irakurri!</t>
  </si>
  <si>
    <t>Belső menetmarás megmunkáló központon</t>
  </si>
  <si>
    <t>Belső menetmarás forgószerszámos esztergán</t>
  </si>
  <si>
    <t>M - Metrikus</t>
  </si>
  <si>
    <t>UN - Amerikai menet</t>
  </si>
  <si>
    <t>G - Whithworth csőmenet</t>
  </si>
  <si>
    <t>BSPT - Kúpos menet</t>
  </si>
  <si>
    <t>NPT - Kúpos menet</t>
  </si>
  <si>
    <t>NPTF - Kúpos tömítő menet</t>
  </si>
  <si>
    <t>NPSF - Csőmenet</t>
  </si>
  <si>
    <t>PG - Páncélcsőmenet</t>
  </si>
  <si>
    <t>Acél, széntartalom &lt; 0,25%, &lt; 400 N/mm2</t>
  </si>
  <si>
    <t>Acél, széntartalom &lt; 0,55%, &lt; 700 N/mm2</t>
  </si>
  <si>
    <t>Acél, széntartalom &lt; 0,85%, &lt; 850 N/mm2</t>
  </si>
  <si>
    <t>Acél, gyengén ötvözött, &lt; 850 N/mm2</t>
  </si>
  <si>
    <t>Acél, erősen ötvözött, &lt; 1200 N/mm2</t>
  </si>
  <si>
    <t>Acél, edzett, &lt; 45 HRC</t>
  </si>
  <si>
    <t>Acél, edzett, &lt; 55 HRC</t>
  </si>
  <si>
    <t>Acél, edzett, &lt; 65 HRC</t>
  </si>
  <si>
    <t>Öntöttvas, lemezgrafitos, &lt; 500 N/mm2</t>
  </si>
  <si>
    <t>Öntöttvas, lemezgrafitos, &lt; 1000 N/mm2</t>
  </si>
  <si>
    <t>Öntöttvas, gömbgrafitos, &lt; 700 N/mm2</t>
  </si>
  <si>
    <t>Öntöttvas, gömbgrafitos, &lt; 1000 N/mm2</t>
  </si>
  <si>
    <t>Korrózióálló acél, jól forgácsolható</t>
  </si>
  <si>
    <t>Korrózióálló acél, ausztenites</t>
  </si>
  <si>
    <t>Korrózióálló acél, ferrites és ausztenites</t>
  </si>
  <si>
    <t>Titán, ötvözetlen, &lt; 700 N/mm2</t>
  </si>
  <si>
    <t>Titán, ötvözött, &lt; 900 N/mm2</t>
  </si>
  <si>
    <t>Titán, ötvözött, &lt; 1250 N/mm2</t>
  </si>
  <si>
    <t>Nikkel, ötvözetlen, &lt; 500 N/mm2</t>
  </si>
  <si>
    <t>Nikkel, ötvözött, &lt; 900 N/mm2</t>
  </si>
  <si>
    <t>Nikkel, ötvözött, &lt; 1250 N/mm2</t>
  </si>
  <si>
    <t>Réz, ötvözetlen, &lt; 350 N/mm2</t>
  </si>
  <si>
    <t>Réz, sárgaréz, bronz, &lt; 700 N/mm2</t>
  </si>
  <si>
    <t>Réz, nagyszilárdságú bronz, &lt; 1500 N/mm2</t>
  </si>
  <si>
    <t>Alumínium, ötvözetlen</t>
  </si>
  <si>
    <t>Alumínium, ötvözött, &lt; 0.5% Si</t>
  </si>
  <si>
    <t>Alumínium, ötvözött, &lt; 10% Si</t>
  </si>
  <si>
    <t>Alumínium, ötvözött, &gt; 10% Si</t>
  </si>
  <si>
    <t>D = menet átmérő (mm)</t>
  </si>
  <si>
    <t>P = menetemelkedés (mm)</t>
  </si>
  <si>
    <t>P = menetemelkedés (TPI)</t>
  </si>
  <si>
    <t>L =menet hossz (mm)</t>
  </si>
  <si>
    <t>d = maró átmérő (mm)</t>
  </si>
  <si>
    <t>l = maró él hossz (mm)</t>
  </si>
  <si>
    <t>z = maró fogszám</t>
  </si>
  <si>
    <t>V = forgácsoló sebesség (m/min)</t>
  </si>
  <si>
    <t>Fz = fogankénti előtolás (mm/fog)</t>
  </si>
  <si>
    <t>Fogások száma, radiális (max 3)</t>
  </si>
  <si>
    <t>Fogások száma, axiális</t>
  </si>
  <si>
    <t>N = orsó fordulatszám (fordulat/min)</t>
  </si>
  <si>
    <t>FD = előtolás a menetátmérőnél (mm/min)</t>
  </si>
  <si>
    <t>Fd = előtolás a maró központjánál (mm/min)</t>
  </si>
  <si>
    <t>T = a menetmarás ideje (sec)</t>
  </si>
  <si>
    <t>Fanuc CNC program</t>
  </si>
  <si>
    <t>Heidenhein CNC program</t>
  </si>
  <si>
    <t>Siemens CNC program</t>
  </si>
  <si>
    <t>Num CNC program</t>
  </si>
  <si>
    <t>Fagor CNC program</t>
  </si>
  <si>
    <t>Mazak CNC program</t>
  </si>
  <si>
    <t>Mitsubishi CNC program</t>
  </si>
  <si>
    <t>Menetmarás</t>
  </si>
  <si>
    <t>Használat előtt kérjük elolvasni!</t>
  </si>
  <si>
    <t>Kontuz !</t>
  </si>
  <si>
    <t>Gortearen estantzen duten aipatuta kondizioak lehenik gomendatzen dute. Eragin ahal duten batek akordioak egin behar izan ditzan faktore asko dago, egonkortasuna adibidez azpijokoa egiten du, erremintak etc. Smicut ocuritu ahal izan dezaten kalteen ez da erantzule egiten bat hau Programa Cnc eta programaren gortearen kondizioak erabiltzean.</t>
  </si>
  <si>
    <t>Nola erabiltzen du programa hau?</t>
  </si>
  <si>
    <t>Hizkuntza aukeratzen du behean eskuineko aldean eta gero zure aukerak aukeratu ahal dituzu betileetan eta lehen lau koadrotan. Informazio honekin programa erreminta egoki desberdinak eskaintzera doakizu azken betilean. Erreminta bat eligidotu duzunean, erremintaren informazioa ikusi ahal duzu, gortearen kondizioak eta Eguraldia losintxatu. Gainera programa CNC erakusten du. Eta kopiatu ahal da itsastea beste bat agiritegian gordetzen dut. Sei koadro azkenak bakarrik berriz betetzen dira ez recomdendadoa onartzea.</t>
  </si>
  <si>
    <t>Erremintaren ordaina</t>
  </si>
  <si>
    <t>Programa honekin erremintaren ordaina bakarrik akordio txikientzat erabiltzen da. Honekin gertatu ahal diren bat ordaina mugimendu laburretan erabiltzean dagoenean arazoak kanporatzera zoaz. Hori, balio bat jar ezazu hutsetik gertu marrubiaren diametroarentzat zenbakizko kontrolen bibliotekan.</t>
  </si>
  <si>
    <t>Uztaiaren probarik gabe diametro zuzena</t>
  </si>
  <si>
    <t>Erreminta bereziak</t>
  </si>
  <si>
    <t xml:space="preserve">Bat edo bi hortzekin erremintak (axial) </t>
  </si>
  <si>
    <t>Gorte kurtzearekin erremintak</t>
  </si>
  <si>
    <t>Erremintak gortearen gehiago laburra longitude bat badu uztaiaren longitudea, programa automatikoki iragaite axial nahikoetan losintxatzera doa.</t>
  </si>
  <si>
    <t>Plaquitekin erremintak</t>
  </si>
  <si>
    <t>Uztai konikoak</t>
  </si>
  <si>
    <t>Mozketaren diametroa gehiago dagoen kirtenetik gertu hortza izango da. Hori, uztaiaren diametroak hortz enplegatuaren bera mailari egon behar dio mozketaren diametroarentzat.</t>
  </si>
  <si>
    <t>Itzultzea</t>
  </si>
  <si>
    <t>Figyelem!</t>
  </si>
  <si>
    <t>Az itt szereplő forgácsolási adatok csak ajánlott kezdőértékek. Sok mindennek lehet olyan hatása, ami szükségessé teszi az adatok módosítását, például a gép stabilitása, a szerszámtartó, stb. A SmiCut cég nem vállal felelősséget a CNC program, vagy a szoftver által ajánlott forgácsolási adatok használata során keletkező esetleges károkért.</t>
  </si>
  <si>
    <t>Hogyan használjuk a programot</t>
  </si>
  <si>
    <t>Válassza ki a nyelvet a jobb alsó sarokban, állítsa be a legördülő menüket, majd töltse ki a következő négy mezőt. A szükséges információ kitöltésekor a program megajánlja az alkalmas menetmarókat. A menetmarók egyikének kiválasztása után megjelennek az ajánlott forgácsolási adatok és a menetmarás művelet ideje. Ugyancsak megjelenik a menetmarás CNC programja. A CNC program másolható és beilleszthető az Ön CNC programjába.</t>
  </si>
  <si>
    <t>Szerszám kompenzáció</t>
  </si>
  <si>
    <t>Ennél a programnál a szerszám kompenzáció csak kisebb állításokhoz használható. Ez kiküszöböli az olyan problémákat, amelyek akkor keletkeznek, ha rádiusz kompenzációt használunk kis elmozdulásoknál. Ezért egy nullához közeli értéket adjon meg maró átmérőként a vezérlés szerszám könyvtárában.</t>
  </si>
  <si>
    <t>Korrekt menet átmérő azonnal</t>
  </si>
  <si>
    <t>Különleges szerszámok</t>
  </si>
  <si>
    <t>Egy és két profilú menetmarók</t>
  </si>
  <si>
    <t>Menetmarók vékony nyakkal</t>
  </si>
  <si>
    <t>A program automatikusan több axiális fogásban készíti el a menetet, ha a menetmaró éle rövidebb, mint az előírt menethossz.</t>
  </si>
  <si>
    <t>Váltólapkás menetmarók</t>
  </si>
  <si>
    <t>Kúpos menetek</t>
  </si>
  <si>
    <t>A megadott maró átmérő a szárhoz közeli teljes meneten értendő. Ezért azt a menet átmérőt kell megadni, ahol a marónak ez a része dolgozik.</t>
  </si>
  <si>
    <t>vissza</t>
  </si>
  <si>
    <t>samt AZ2 till AZ21</t>
  </si>
  <si>
    <t>AS, AT, AU, AV och AW.</t>
  </si>
  <si>
    <t>De angivne skæredata er kun anbefalede startværdier. Der findes mange faktorer som kan påvirke, at der skal foretages justeringer, fx maskinstabilitet, værktøjsudrustning etc. SmiCut er ikke ansvarlig for skader som kan opstå i forb. med anvendelse af CNC programmet eller skæredata fra softwaren.</t>
  </si>
  <si>
    <r>
      <t xml:space="preserve">V = </t>
    </r>
    <r>
      <rPr>
        <sz val="10"/>
        <rFont val="宋体"/>
        <charset val="134"/>
      </rPr>
      <t>切削速度</t>
    </r>
    <r>
      <rPr>
        <sz val="10"/>
        <rFont val="Arial"/>
        <family val="2"/>
      </rPr>
      <t xml:space="preserve">  (m/min)</t>
    </r>
  </si>
  <si>
    <t>NY</t>
  </si>
  <si>
    <t>i kolumn AX2 till AX25</t>
  </si>
  <si>
    <t>AX, AY, AZ, BA, BB</t>
  </si>
  <si>
    <t>OBS! Markera rad 2 och dra nedåt.</t>
  </si>
  <si>
    <t>Vid behov förläng följande kolumner:</t>
  </si>
  <si>
    <t>och ändra rullist B20 genom att</t>
  </si>
  <si>
    <t>högerklicka och formatera kontroll</t>
  </si>
  <si>
    <t>Kostnad för verktyg (€)</t>
  </si>
  <si>
    <t>Maskinkostnad per timme (€)</t>
  </si>
  <si>
    <t>Price (€)</t>
  </si>
  <si>
    <t>Tool life</t>
  </si>
  <si>
    <t>Tool cost</t>
  </si>
  <si>
    <t>Verktygskostnad per gänga (€)</t>
  </si>
  <si>
    <t>Total kostnad per gänga (€)</t>
  </si>
  <si>
    <t>Vid behov ändra upptagningsområde</t>
  </si>
  <si>
    <t>för kolumn BJ12</t>
  </si>
  <si>
    <t>Verktygslivslängd (minuter)</t>
  </si>
  <si>
    <t>Machine cost per hour (€)</t>
  </si>
  <si>
    <t>Tooling cost (€)</t>
  </si>
  <si>
    <t>Tool life (minutes)</t>
  </si>
  <si>
    <t>Tooling cost per thread (€)</t>
  </si>
  <si>
    <t>Total cost per thread (€)</t>
  </si>
  <si>
    <t>Costo de la máquina por hora (€)</t>
  </si>
  <si>
    <t>Costo de la herramienta (€)</t>
  </si>
  <si>
    <t>Vida de la herramienta (minutos)</t>
  </si>
  <si>
    <t>Costo de la herramienta por rosca (€)</t>
  </si>
  <si>
    <t>Coste total por rosca (€)</t>
  </si>
  <si>
    <t>Werkzeugkosten (€)</t>
  </si>
  <si>
    <t>Werkzeugkosten pro Gewinde (€)</t>
  </si>
  <si>
    <t>Gesamtkosten pro Gewinde (€)</t>
  </si>
  <si>
    <t>Česky</t>
  </si>
  <si>
    <t>Frézování vnitřních závitů v OBRÁBĚCÍM CENTRU</t>
  </si>
  <si>
    <t>Frézování vnitřních závitů v SOUSTRUHU v naháněné jednotce</t>
  </si>
  <si>
    <t>M - Metrický závit</t>
  </si>
  <si>
    <t xml:space="preserve">UN - Unifikovaný americký závit </t>
  </si>
  <si>
    <t>G - Trubkový závit</t>
  </si>
  <si>
    <t>BSPT - Kuželový trubkový závit</t>
  </si>
  <si>
    <t>NPT - Kuželový americký trubkový závit</t>
  </si>
  <si>
    <t>NPTF - Kuželový americký trubkový závit (těsněný)</t>
  </si>
  <si>
    <t>NPSF - Americký trubkový závit</t>
  </si>
  <si>
    <t>PG - Pancéřový závit</t>
  </si>
  <si>
    <t>Ocel uhlíková &lt; 0,25% C, &lt; 400 N/mm2 (např. 11 373)</t>
  </si>
  <si>
    <t>Ocel uhlíková &lt; 0,55% C, &lt; 700 N/mm2 (např. 12 050)</t>
  </si>
  <si>
    <t>Ocel uhlíková &lt; 0,85% C, &lt; 850 N/mm2</t>
  </si>
  <si>
    <t>Ocel nízkolegovaná &lt; 850 N/mm2</t>
  </si>
  <si>
    <t>Ocel vysokolegovaná &lt; 1200 N/mm2</t>
  </si>
  <si>
    <t>Ocel kalená &lt; 45 HRC</t>
  </si>
  <si>
    <t>Ocel kalená &lt; 55 HRC</t>
  </si>
  <si>
    <t>Ocel kalená &lt; 65 HRC</t>
  </si>
  <si>
    <t>Litina šedá &lt; 500 N/mm2</t>
  </si>
  <si>
    <t>Litina šedá &lt; 1000 N/mm2</t>
  </si>
  <si>
    <t>Litina tvárná &lt; 700 N/mm2</t>
  </si>
  <si>
    <t>Litina tvárná &lt; 1000 N/mm2</t>
  </si>
  <si>
    <t>Nerezová ocel, automatová (např. 1.4305)</t>
  </si>
  <si>
    <t>Nerezová ocel, austenitická (např. 1.4301)</t>
  </si>
  <si>
    <t>Nerezová ocel, duplexní</t>
  </si>
  <si>
    <t>Titan, nelegovaný &lt; 700 N/mm2</t>
  </si>
  <si>
    <t>Titan, legovaný &lt; 900 N/mm2</t>
  </si>
  <si>
    <t>Titan, legovaný &lt; 1250 N/mm2</t>
  </si>
  <si>
    <t>Nikl, nelegovaný &lt; 500 N/mm2</t>
  </si>
  <si>
    <t>Nikl, legovaný &lt; 900 N/mm2</t>
  </si>
  <si>
    <t>Nikl, legovaný &lt; 1250 N/mm2</t>
  </si>
  <si>
    <t>Měď, nelegovaná &lt; 350 N/mm2</t>
  </si>
  <si>
    <t>Měď, mosaz, bronz &lt; 700 N/mm2</t>
  </si>
  <si>
    <t>Měď, bronz s vysokou pevností &lt; 1500 N/mm2</t>
  </si>
  <si>
    <t>Hliník, nelegovaný</t>
  </si>
  <si>
    <t>Hliník, legovaný &lt; 0.5% Si</t>
  </si>
  <si>
    <t>Hliník, legovaný &lt; 10% Si</t>
  </si>
  <si>
    <t>Hliník, legovaný &gt; 10% Si</t>
  </si>
  <si>
    <t>D = průměr závitu (mm)</t>
  </si>
  <si>
    <t>P = stoupání závitu (mm)</t>
  </si>
  <si>
    <t>P = počet chodů závitu na palec (TPI)</t>
  </si>
  <si>
    <t>L = délka závitu (mm)</t>
  </si>
  <si>
    <t>d = pracovní průměr frézy (mm)</t>
  </si>
  <si>
    <t>l = délka ostří frézy (mm)</t>
  </si>
  <si>
    <t>z = počet břitů frézy</t>
  </si>
  <si>
    <t>V = řezná rychlost (m/min)</t>
  </si>
  <si>
    <t>Fz = posuv na zub (mm/zub)</t>
  </si>
  <si>
    <t>Počet průchodů, radiální (max 3)</t>
  </si>
  <si>
    <t>Počet průchodů, axiální</t>
  </si>
  <si>
    <t>N = otáčky (1/min)</t>
  </si>
  <si>
    <t>FD = posuv ostří frézy (mm/min)</t>
  </si>
  <si>
    <t>Fd = posuv středu frézy (mm/min)</t>
  </si>
  <si>
    <t>T = čas frézování závitu (vteřiny)</t>
  </si>
  <si>
    <t>CNC program pro Fanuc</t>
  </si>
  <si>
    <t>CNC program pro Heidenhein</t>
  </si>
  <si>
    <t>CNC program pro Siemens</t>
  </si>
  <si>
    <t>CNC program pro Num</t>
  </si>
  <si>
    <t>CNC program pro Fagor</t>
  </si>
  <si>
    <t>CNC program pro Mazak</t>
  </si>
  <si>
    <t>CNC program pro Mitsubishi</t>
  </si>
  <si>
    <t>Frézování závitů</t>
  </si>
  <si>
    <t>Před použitím čtěte zde, prosím!</t>
  </si>
  <si>
    <t>Strojní čas na 1 hodinu (€)</t>
  </si>
  <si>
    <t>Cena nástroje (€)</t>
  </si>
  <si>
    <t>Životnost nástroje (minuty)</t>
  </si>
  <si>
    <t>Podíl ceny nástroje na závit (€)</t>
  </si>
  <si>
    <t>Celkové náklady na závit (€)</t>
  </si>
  <si>
    <t>Upozornění!</t>
  </si>
  <si>
    <t>Uvedené řezné parametry jsou pouze počáteční doporučené hodnoty. Je proto nutné je přizpůsobit dané situaci (např. tuhosti stroje, upnutí nástroje a obrobku, ...). SmiCut proto nebere žádnou odpovědnost za škody které mohou vzniknout neodborným použitím tohoto Kalkulátoru nebo CNC programu.</t>
  </si>
  <si>
    <t xml:space="preserve">Jak používat tento Kalkulátor </t>
  </si>
  <si>
    <t>Korekce nástroje</t>
  </si>
  <si>
    <t>V tomto programu používejte korekci nástroje pouze pro velmi malé (cca setiny milimetru) úpravy průměru frézy pro dosažení požadované tolerance závitu. Zamezíte tak možné kolizi nástroje v otvoru.</t>
  </si>
  <si>
    <t>Přesný rozměr závitu co nejsnadněji</t>
  </si>
  <si>
    <t>SmiCut měří každou jednotlivou frézu a přesná hodnota průměru frézy je VYLASEROVANÁ NA STOPCE každého nástroje. Tento rozměr pro danou frézu zadejte do POLÍČKA č.7. S největší pravděpodobností bude již první závit v toleranci. Pokud potřebuje přesto udělat korekci, je možno ji udělat opět v políčku č.7 nebo přímo v řídícím systému stroje.</t>
  </si>
  <si>
    <t>Neuvedené a speciální nástroje</t>
  </si>
  <si>
    <t>Závitové frézy s jedním nebo dvěma axiálními zuby</t>
  </si>
  <si>
    <t>Pokud si vyberete standardní frézu typu NM s jedním nebo dvěma axiálními zuby, program začne automaticky dělat spirálu hned od začátku až do konce procesu. Pokud chcete udělat to samé s jiným nástrojem, zadejte stoupání závitu do políčka 8 jako délku řezné hrany.</t>
  </si>
  <si>
    <t>Úprava odlehčení závitové frézy</t>
  </si>
  <si>
    <t>Pokud je délka ostří frézy kratší než požadovaná délka závitu, kalkulátor automaticky určí postup pro frézování závitu v několika axiálních průchodech. V tomto případě je nutno upravit odlehčení frézy na požadovanou délku.</t>
  </si>
  <si>
    <t>Závitové frézy s vyměnitelnými destičkami</t>
  </si>
  <si>
    <t>Kuželové závity</t>
  </si>
  <si>
    <t xml:space="preserve">Pracovní průměr frézy je průměr přes poslední plný závit nejblíže ke stopce nástroje. Je proto nezbytné zadat průměr závitu kde tato část frézy bude pracovat. </t>
  </si>
  <si>
    <t>zpět</t>
  </si>
  <si>
    <r>
      <rPr>
        <b/>
        <sz val="9"/>
        <rFont val="Verdana"/>
        <family val="2"/>
      </rPr>
      <t>1)</t>
    </r>
    <r>
      <rPr>
        <sz val="9"/>
        <rFont val="Verdana"/>
        <family val="2"/>
      </rPr>
      <t xml:space="preserve"> Vyberte </t>
    </r>
    <r>
      <rPr>
        <b/>
        <sz val="9"/>
        <rFont val="Verdana"/>
        <family val="2"/>
      </rPr>
      <t>JAZYK</t>
    </r>
    <r>
      <rPr>
        <sz val="9"/>
        <rFont val="Verdana"/>
        <family val="2"/>
      </rPr>
      <t xml:space="preserve"> vpravo nahoře
</t>
    </r>
    <r>
      <rPr>
        <b/>
        <sz val="9"/>
        <rFont val="Verdana"/>
        <family val="2"/>
      </rPr>
      <t>2)</t>
    </r>
    <r>
      <rPr>
        <sz val="9"/>
        <rFont val="Verdana"/>
        <family val="2"/>
      </rPr>
      <t xml:space="preserve"> Vyberte hodnoty v prvních dvou </t>
    </r>
    <r>
      <rPr>
        <b/>
        <sz val="9"/>
        <rFont val="Verdana"/>
        <family val="2"/>
      </rPr>
      <t>ROZBALOVACÍCH POLÍČKÁCH</t>
    </r>
    <r>
      <rPr>
        <sz val="9"/>
        <rFont val="Verdana"/>
        <family val="2"/>
      </rPr>
      <t xml:space="preserve">
</t>
    </r>
    <r>
      <rPr>
        <b/>
        <sz val="9"/>
        <rFont val="Verdana"/>
        <family val="2"/>
      </rPr>
      <t>3)</t>
    </r>
    <r>
      <rPr>
        <sz val="9"/>
        <rFont val="Verdana"/>
        <family val="2"/>
      </rPr>
      <t xml:space="preserve"> Vyplňte hodnoty v </t>
    </r>
    <r>
      <rPr>
        <b/>
        <sz val="9"/>
        <rFont val="Verdana"/>
        <family val="2"/>
      </rPr>
      <t>POLÍČKÁCH č. 1 - 4</t>
    </r>
    <r>
      <rPr>
        <sz val="9"/>
        <rFont val="Verdana"/>
        <family val="2"/>
      </rPr>
      <t xml:space="preserve">
</t>
    </r>
    <r>
      <rPr>
        <b/>
        <sz val="9"/>
        <rFont val="Verdana"/>
        <family val="2"/>
      </rPr>
      <t>4)</t>
    </r>
    <r>
      <rPr>
        <sz val="9"/>
        <rFont val="Verdana"/>
        <family val="2"/>
      </rPr>
      <t xml:space="preserve"> Po vyplnění vhodných parametrů </t>
    </r>
    <r>
      <rPr>
        <b/>
        <sz val="9"/>
        <rFont val="Verdana"/>
        <family val="2"/>
      </rPr>
      <t>PROGRAM NAVRHNE VHODNÉ NÁSTROJE</t>
    </r>
    <r>
      <rPr>
        <sz val="9"/>
        <rFont val="Verdana"/>
        <family val="2"/>
      </rPr>
      <t xml:space="preserve"> (jsou uvedené v rozbalovacícha políčkách)
</t>
    </r>
    <r>
      <rPr>
        <b/>
        <sz val="9"/>
        <rFont val="Verdana"/>
        <family val="2"/>
      </rPr>
      <t>5)</t>
    </r>
    <r>
      <rPr>
        <sz val="9"/>
        <rFont val="Verdana"/>
        <family val="2"/>
      </rPr>
      <t xml:space="preserve"> Když si </t>
    </r>
    <r>
      <rPr>
        <b/>
        <sz val="9"/>
        <rFont val="Verdana"/>
        <family val="2"/>
      </rPr>
      <t>VYBERETE JEDEN</t>
    </r>
    <r>
      <rPr>
        <sz val="9"/>
        <rFont val="Verdana"/>
        <family val="2"/>
      </rPr>
      <t xml:space="preserve"> z navržených nástrojů, zobrazí se důležité rozměry tohoto nástroje + doporučené řezné parametry + čas frézování závitu. Můžete tak snadněji porovnávat 2 nástroje mezi sebou.
</t>
    </r>
    <r>
      <rPr>
        <b/>
        <sz val="9"/>
        <rFont val="Verdana"/>
        <family val="2"/>
      </rPr>
      <t>6)</t>
    </r>
    <r>
      <rPr>
        <sz val="9"/>
        <rFont val="Verdana"/>
        <family val="2"/>
      </rPr>
      <t xml:space="preserve"> Políčka 5-12 se vyplňují pouze v případě, kdy Vám nevyhovují navržené hodnoty.</t>
    </r>
  </si>
  <si>
    <r>
      <t xml:space="preserve">Pokud chcete použít nástroj který není uveden v seznamu, zadejte prosím tyto hodnoty:
</t>
    </r>
    <r>
      <rPr>
        <b/>
        <sz val="9"/>
        <rFont val="Verdana"/>
        <family val="2"/>
      </rPr>
      <t>1)</t>
    </r>
    <r>
      <rPr>
        <sz val="9"/>
        <rFont val="Verdana"/>
        <family val="2"/>
      </rPr>
      <t xml:space="preserve"> POLÍČKO č.7 - PRŮMĚR FRÉZY
</t>
    </r>
    <r>
      <rPr>
        <b/>
        <sz val="9"/>
        <rFont val="Verdana"/>
        <family val="2"/>
      </rPr>
      <t>2)</t>
    </r>
    <r>
      <rPr>
        <sz val="9"/>
        <rFont val="Verdana"/>
        <family val="2"/>
      </rPr>
      <t xml:space="preserve"> POLÍČKO č.8 - DÉLKU OSTŘÍ DESTIČKY
</t>
    </r>
    <r>
      <rPr>
        <b/>
        <sz val="9"/>
        <rFont val="Verdana"/>
        <family val="2"/>
      </rPr>
      <t>3)</t>
    </r>
    <r>
      <rPr>
        <sz val="9"/>
        <rFont val="Verdana"/>
        <family val="2"/>
      </rPr>
      <t xml:space="preserve"> POLÍČKO č.9 - POČET DESTIČEK na fréze</t>
    </r>
  </si>
  <si>
    <r>
      <rPr>
        <b/>
        <sz val="9"/>
        <rFont val="Verdana"/>
        <family val="2"/>
      </rPr>
      <t>1)</t>
    </r>
    <r>
      <rPr>
        <sz val="9"/>
        <rFont val="Verdana"/>
        <family val="2"/>
      </rPr>
      <t xml:space="preserve"> POLÍČKO č.7 - zadejte PRŮMĚR FRÉZY
</t>
    </r>
    <r>
      <rPr>
        <b/>
        <sz val="9"/>
        <rFont val="Verdana"/>
        <family val="2"/>
      </rPr>
      <t>2)</t>
    </r>
    <r>
      <rPr>
        <sz val="9"/>
        <rFont val="Verdana"/>
        <family val="2"/>
      </rPr>
      <t xml:space="preserve"> POLÍČKO č.8 - zadejte DÉLKU OSTŘÍ DESTIČKY
</t>
    </r>
    <r>
      <rPr>
        <b/>
        <sz val="9"/>
        <rFont val="Verdana"/>
        <family val="2"/>
      </rPr>
      <t>3)</t>
    </r>
    <r>
      <rPr>
        <sz val="9"/>
        <rFont val="Verdana"/>
        <family val="2"/>
      </rPr>
      <t xml:space="preserve"> POLÍČKO č.9 - zadejte POČET DESTIČEK na fréze
</t>
    </r>
    <r>
      <rPr>
        <b/>
        <sz val="9"/>
        <rFont val="Verdana"/>
        <family val="2"/>
      </rPr>
      <t>4)</t>
    </r>
    <r>
      <rPr>
        <sz val="9"/>
        <rFont val="Verdana"/>
        <family val="2"/>
      </rPr>
      <t xml:space="preserve"> Vytvoří se CNC program pro výrobu plné délky závitu. Pokud je potřeba tak i v několika axiálních průchodech. V tomto případě je nutno zkontrolovat odlehčení vybrané frézy.</t>
    </r>
  </si>
  <si>
    <t>Ordu bakoitzeko makina kostua (€)</t>
  </si>
  <si>
    <t>Erraminta kostua (€)</t>
  </si>
  <si>
    <t>Erremintaren bizitza (minutu)</t>
  </si>
  <si>
    <t>Hari bakoitzeko erraminta kostua (€)</t>
  </si>
  <si>
    <t>Hari bakoitzeko kostu osoa (€)</t>
  </si>
  <si>
    <t>Produktionsomkostninger per time (€)</t>
  </si>
  <si>
    <t>Værktøjs pris (€)</t>
  </si>
  <si>
    <t>Værktøjs levetid (Minutter)</t>
  </si>
  <si>
    <t>Værktøjs pris per gevind (€)</t>
  </si>
  <si>
    <t>Total omkostninger per gevind (€)</t>
  </si>
  <si>
    <t>Masintund (€)</t>
  </si>
  <si>
    <t>Instrumendi maksumus (€)</t>
  </si>
  <si>
    <t>Instrumendi kestvus (minutites)</t>
  </si>
  <si>
    <t>Instrumendi kulu keermele (€)</t>
  </si>
  <si>
    <t>Kogukulu keermele (€)</t>
  </si>
  <si>
    <t>Costo orario macchina  (€)</t>
  </si>
  <si>
    <t>Costo utensile (€)</t>
  </si>
  <si>
    <t>Vita utensile in minuti</t>
  </si>
  <si>
    <t>Costo utensile per filetto (€)</t>
  </si>
  <si>
    <t>Costo totale per filetto (€)</t>
  </si>
  <si>
    <t>每小時之機器運作成本(歐元)</t>
    <phoneticPr fontId="3"/>
  </si>
  <si>
    <t>每小时之机器运作成本(欧元)</t>
    <phoneticPr fontId="3"/>
  </si>
  <si>
    <t>刀具成本(歐元)</t>
    <phoneticPr fontId="3"/>
  </si>
  <si>
    <t>刀具成本(欧元)</t>
    <phoneticPr fontId="3"/>
  </si>
  <si>
    <t>刀具壽命(分鐘)</t>
    <phoneticPr fontId="3"/>
  </si>
  <si>
    <t>刀具寿命(分钟)</t>
    <phoneticPr fontId="3"/>
  </si>
  <si>
    <t>每次銑牙之刀具成本(歐元)</t>
    <phoneticPr fontId="3"/>
  </si>
  <si>
    <t>每次铣牙之刀具成本(欧元)</t>
    <phoneticPr fontId="3"/>
  </si>
  <si>
    <r>
      <rPr>
        <sz val="9"/>
        <rFont val="細明體"/>
        <family val="3"/>
        <charset val="136"/>
      </rPr>
      <t>每次銑牙之總成本</t>
    </r>
    <r>
      <rPr>
        <sz val="9"/>
        <rFont val="Verdana"/>
        <family val="2"/>
      </rPr>
      <t>(</t>
    </r>
    <r>
      <rPr>
        <sz val="9"/>
        <rFont val="細明體"/>
        <family val="3"/>
        <charset val="136"/>
      </rPr>
      <t>歐元</t>
    </r>
    <r>
      <rPr>
        <sz val="9"/>
        <rFont val="Verdana"/>
        <family val="2"/>
      </rPr>
      <t>)</t>
    </r>
  </si>
  <si>
    <r>
      <rPr>
        <sz val="9"/>
        <rFont val="細明體"/>
        <family val="3"/>
        <charset val="136"/>
      </rPr>
      <t>每次铣牙之总成本</t>
    </r>
    <r>
      <rPr>
        <sz val="9"/>
        <rFont val="Verdana"/>
        <family val="2"/>
      </rPr>
      <t>(</t>
    </r>
    <r>
      <rPr>
        <sz val="9"/>
        <rFont val="細明體"/>
        <family val="3"/>
        <charset val="136"/>
      </rPr>
      <t>欧元</t>
    </r>
    <r>
      <rPr>
        <sz val="9"/>
        <rFont val="Verdana"/>
        <family val="2"/>
      </rPr>
      <t>)</t>
    </r>
  </si>
  <si>
    <t>시간당 가공비용(원)</t>
    <phoneticPr fontId="3"/>
  </si>
  <si>
    <r>
      <rPr>
        <sz val="9"/>
        <rFont val="돋움"/>
        <family val="3"/>
      </rPr>
      <t>공구비용</t>
    </r>
    <r>
      <rPr>
        <sz val="9"/>
        <rFont val="Verdana"/>
        <family val="2"/>
      </rPr>
      <t>(</t>
    </r>
    <r>
      <rPr>
        <sz val="9"/>
        <rFont val="돋움"/>
        <family val="3"/>
      </rPr>
      <t>원</t>
    </r>
    <r>
      <rPr>
        <sz val="9"/>
        <rFont val="Verdana"/>
        <family val="2"/>
      </rPr>
      <t>)</t>
    </r>
  </si>
  <si>
    <r>
      <rPr>
        <sz val="9"/>
        <rFont val="돋움"/>
        <family val="3"/>
      </rPr>
      <t>공구</t>
    </r>
    <r>
      <rPr>
        <sz val="9"/>
        <rFont val="Verdana"/>
        <family val="2"/>
      </rPr>
      <t xml:space="preserve"> </t>
    </r>
    <r>
      <rPr>
        <sz val="9"/>
        <rFont val="돋움"/>
        <family val="3"/>
      </rPr>
      <t>수명</t>
    </r>
    <r>
      <rPr>
        <sz val="9"/>
        <rFont val="Verdana"/>
        <family val="2"/>
      </rPr>
      <t>(</t>
    </r>
    <r>
      <rPr>
        <sz val="9"/>
        <rFont val="돋움"/>
        <family val="3"/>
      </rPr>
      <t>분</t>
    </r>
    <r>
      <rPr>
        <sz val="9"/>
        <rFont val="Verdana"/>
        <family val="2"/>
      </rPr>
      <t>)</t>
    </r>
  </si>
  <si>
    <r>
      <rPr>
        <sz val="9"/>
        <rFont val="돋움"/>
        <family val="3"/>
      </rPr>
      <t>나사가공</t>
    </r>
    <r>
      <rPr>
        <sz val="9"/>
        <rFont val="Verdana"/>
        <family val="2"/>
      </rPr>
      <t xml:space="preserve"> </t>
    </r>
    <r>
      <rPr>
        <sz val="9"/>
        <rFont val="돋움"/>
        <family val="3"/>
      </rPr>
      <t>개당</t>
    </r>
    <r>
      <rPr>
        <sz val="9"/>
        <rFont val="Verdana"/>
        <family val="2"/>
      </rPr>
      <t xml:space="preserve"> </t>
    </r>
    <r>
      <rPr>
        <sz val="9"/>
        <rFont val="돋움"/>
        <family val="3"/>
      </rPr>
      <t>공구비용</t>
    </r>
    <r>
      <rPr>
        <sz val="9"/>
        <rFont val="Verdana"/>
        <family val="2"/>
      </rPr>
      <t>(</t>
    </r>
    <r>
      <rPr>
        <sz val="9"/>
        <rFont val="돋움"/>
        <family val="3"/>
      </rPr>
      <t>원</t>
    </r>
    <r>
      <rPr>
        <sz val="9"/>
        <rFont val="Verdana"/>
        <family val="2"/>
      </rPr>
      <t>)</t>
    </r>
  </si>
  <si>
    <r>
      <rPr>
        <sz val="9"/>
        <rFont val="돋움"/>
        <family val="3"/>
      </rPr>
      <t>나사가공</t>
    </r>
    <r>
      <rPr>
        <sz val="9"/>
        <rFont val="Verdana"/>
        <family val="2"/>
      </rPr>
      <t xml:space="preserve"> </t>
    </r>
    <r>
      <rPr>
        <sz val="9"/>
        <rFont val="돋움"/>
        <family val="3"/>
      </rPr>
      <t>개당</t>
    </r>
    <r>
      <rPr>
        <sz val="9"/>
        <rFont val="Verdana"/>
        <family val="2"/>
      </rPr>
      <t xml:space="preserve"> </t>
    </r>
    <r>
      <rPr>
        <sz val="9"/>
        <rFont val="돋움"/>
        <family val="3"/>
      </rPr>
      <t>총비용</t>
    </r>
    <r>
      <rPr>
        <sz val="9"/>
        <rFont val="Verdana"/>
        <family val="2"/>
      </rPr>
      <t>(</t>
    </r>
    <r>
      <rPr>
        <sz val="9"/>
        <rFont val="돋움"/>
        <family val="3"/>
      </rPr>
      <t>원</t>
    </r>
    <r>
      <rPr>
        <sz val="9"/>
        <rFont val="Verdana"/>
        <family val="2"/>
      </rPr>
      <t>)</t>
    </r>
  </si>
  <si>
    <t>Coût horaire machine (€)</t>
  </si>
  <si>
    <t>Coût d'outillage (€)</t>
  </si>
  <si>
    <t>Durée de vie de l'outil (minutes)</t>
  </si>
  <si>
    <t>Coût d'outillage par filet (€)</t>
  </si>
  <si>
    <t>Coût total par filet (€)</t>
  </si>
  <si>
    <t>Machinekost per uur (€)</t>
  </si>
  <si>
    <t>gereedschapskost (€)</t>
  </si>
  <si>
    <t>standtijd ( minuten )</t>
  </si>
  <si>
    <t>gereedschapskost per schroefdraad (€)</t>
  </si>
  <si>
    <t>totale kost per schroefdraad (€)</t>
  </si>
  <si>
    <t>Maskin kostnad per time  (€)</t>
  </si>
  <si>
    <t>Verktøy kostnad  (€)</t>
  </si>
  <si>
    <t>Stand tid verktøy ( minutter)</t>
  </si>
  <si>
    <t>Verktøy kostnad per gjenge  (€)</t>
  </si>
  <si>
    <t>Total kostnad per gjenge  (€)</t>
  </si>
  <si>
    <t>Koszt maszynowy na godz. (€)</t>
  </si>
  <si>
    <t>Koszt narzędzi (€)</t>
  </si>
  <si>
    <t>Zywotność (min)</t>
  </si>
  <si>
    <t>Koszt narzedzi na gwint (€)</t>
  </si>
  <si>
    <t>Całkowity koszt na gwint (€)</t>
  </si>
  <si>
    <t>Cost de prelucrare per ora (€)</t>
  </si>
  <si>
    <t>Cost scula (€)</t>
  </si>
  <si>
    <t>Durabilitate scula (minute)</t>
  </si>
  <si>
    <t>Cost scula per filet (€)</t>
  </si>
  <si>
    <t>Cost total per filet (€)</t>
  </si>
  <si>
    <t>Стоимость нормочаса оборудования  (€)</t>
  </si>
  <si>
    <t>Стоимость иструмента (€)</t>
  </si>
  <si>
    <t>Стойкость инструмента (минут)</t>
  </si>
  <si>
    <t>Стоимость инструмента на одну резьбу (€)</t>
  </si>
  <si>
    <t>Общие затраты на одну резьбу (€)</t>
  </si>
  <si>
    <t>Maschinenstundensatz (€)</t>
  </si>
  <si>
    <t>Werkzeuglebensdauer (min)</t>
  </si>
  <si>
    <t>Gépóra költség (€)</t>
  </si>
  <si>
    <t>Szerszámköltség (€)</t>
  </si>
  <si>
    <t>Szerszám éltartam (perc)</t>
  </si>
  <si>
    <t>Egy menet szerszámköltsége (€)</t>
  </si>
  <si>
    <t>Egy menet teljes költsége (€)</t>
  </si>
  <si>
    <t>1時間あたりの加工費用（€）</t>
  </si>
  <si>
    <t>工具費用（€）</t>
  </si>
  <si>
    <t>工具寿命（分）</t>
    <rPh sb="0" eb="2">
      <t>コウグ</t>
    </rPh>
    <rPh sb="2" eb="4">
      <t>ジュミョウ</t>
    </rPh>
    <rPh sb="5" eb="6">
      <t>フン</t>
    </rPh>
    <phoneticPr fontId="3"/>
  </si>
  <si>
    <t>ねじ１つあたりの工具費用（€）</t>
  </si>
  <si>
    <t>ねじ１つあたりの総費用（€）</t>
  </si>
  <si>
    <t>Custo da máquina por hora (€)</t>
  </si>
  <si>
    <t>Custo da ferramenta (€)</t>
  </si>
  <si>
    <t>Vida da ferramenta (minutos)</t>
  </si>
  <si>
    <t>Custo da ferramenta por rosca (€)</t>
  </si>
  <si>
    <t>Custo total por rosca (€)</t>
  </si>
  <si>
    <t>Koneen hinta tunnissa (€)</t>
  </si>
  <si>
    <t>Työkalukustannukset (€)</t>
  </si>
  <si>
    <t>Työkalun käyttöikä (minuutit)</t>
  </si>
  <si>
    <t>Työkalukustannukset lankaa kohden (€)</t>
  </si>
  <si>
    <t>Kokonaiskustannukset lankaa kohden (€)</t>
  </si>
  <si>
    <t>På gängfräsar från SmiCut är medeldiametern uppmätt optiskt och sedan har man lasermärkt den teoretiska ytterdiametern på verktyget. Detta mått bör föras in på rutan som är bredvid fräsens skärdiameter (ruta 7). Med största sannolikhet kommer du direkt att få en korrekt gänga. Ifall du därefter behöver göra justeringar kan du göra detta på samma ruta igen eller i verktygsbiblioteket på styrsystemet.</t>
  </si>
  <si>
    <t>Om verktyget du använder inte finns på listan kan du själv fylla i fräsens skärdiameter, skärkantlängd och antal skär på ruta 7-9.</t>
  </si>
  <si>
    <t>Om du väljer ett standardverktyg med en eller två tänder, typ NM, kommer programmet automatiskt att skapa en cykel som gör en spiral tills gängan är färdig. Om du vill skapa en liknande cykel med ett annat verktyg anger du stigningen som fräsens skärkantlängd på ruta 8.</t>
  </si>
  <si>
    <t>Fyll i fräskroppens skärdiameter på ruta 7, ange vändskärets skärkantlängd på ruta 8 och ange antal skär på ruta 9. Om behov föreligger kommer programmet automatiskt göra gängan i flera pass axiellt.</t>
  </si>
  <si>
    <t>På gevindfræserne fra SmiCut er mediandiameteren opmålt optisk og siden er den teoretiske yderdiamter lasermærket på værktøjet. Dette mål bør indskrives i rubrikken ved siden af fræserens skærediamter (rubrik 7). Med høj sandsynlighed vil man således opnå et korrekt gevind, første gang. Hvis der skal foretages justeringer, kan dette gøres i samme runbrik, alternativt  i værktøjsbiblioteket på styresystemet</t>
  </si>
  <si>
    <t>Hvis det anvendte værktøj ikke findes på listen, kan du selv udfylde fræserens diameter, skærekantslængde og antal skær i rubrikkerne 7 - 9.</t>
  </si>
  <si>
    <t>Hvis der vælges et standardværktøj med en eller to tænder, type NM, vil programmet automatisk skabe en cyklus som laver en spiral indtil gevindet er færdigt. Hvis der ønskes en lignende cyklus med et andet værktøj skal stigningen angives som fræserens skærekantslængde i rubrik 8.</t>
  </si>
  <si>
    <t>Udfyld fræserkroppens skærediameter i rubrik 7, angiv vendeskærets skærekantslængde i rubrik 8 og angiv antal skær i rubrik 9. Ved behov vil programmet automatisk udføre gevindet i flere overløb axialt.</t>
  </si>
  <si>
    <t>An Gewinde-Fräsern von SmiCut wurde der Durchnitts-Durchmesser optisch gemessen, wonach der theoretische Außendurchmesser am Werkzeug mit dem Laser markiert wurde. Dieses Maß sollte im Kästchen neben des Fräsers-Durchmesser (Kästchen Nr. 7) eingegeben werden. Höchst wahrscheinlich werden Sie sofort ein korrektes Gewinde erreichen. Falls danach weitere Justierungen erforderlich sein sollten, können Sie diese nochmals im gleichen Kästchen oder durch die Werkzeugbibliothek des Steuerungssystems machen.</t>
  </si>
  <si>
    <t>Wenn das verwendete Werkzeug nicht in der Liste aufgeführt ist, können Sie selbst Fräser-Durchmesser, Schneidelänge des Fräsers und Anzahl Schneiden in den Kästchen 7-9 eintragen.</t>
  </si>
  <si>
    <t>Wenn Sie ein Standardwerkzeug mit einem Zahn bzw. zwei Zähnen wählen (Typ NM), wird das Programm automatisch einen Zyklus erstellen, der eine Spirale herstellt bis das Gewinde komplett fertig ist. Möchten Sie einen ähnlichen Zyklus mit einem anderen Werkzeug machen, geben Sie die Steigung als die Schneidelänge des Fräsers im Kästchen 8 an.</t>
  </si>
  <si>
    <t>Geben Sie den Durchmesser des Fräserkörpers im Kästchen Nr. 7 ein, registrieren Sie die Schneidelänge der Wendeschneide im Kästchen Nr. 8 und geben Sie im Kästchen Nr. 9 die Anzahl Schneiden an. Falls erforderlich, wird das Programm das Gewinde in mehreren Durchgängen axial schneiden.</t>
  </si>
  <si>
    <t>SmiCut'i keermefreeside keerme keskläbimõõt on optiliselt mõõdetud ja teoreetiline välisläbimõõt on igale freesile eraldi laseriga märgitud. See suurus tuleb märkida lahtrisse freesi läbimõõt (lahter 7). Enamusel juhtudest saad kohe õige keerme. Juhul kui on vaja teha muudatusi saad neid teha samas lahtris või töötlemis andmete kontroll süsteemis.</t>
  </si>
  <si>
    <t>Kui kasutad instrumenti mis ei ole nimekirjas siis saad sisestada freesi läbimõõdu, pikkuse ja lõikeservade arvu lahtritesse 7-9.</t>
  </si>
  <si>
    <t>programm teeb automaatselt spiraali algusest kuni keere on valmis, kui valid standartse NM tüüpi freesi ühe või kahe hambaga. Kui tahad teha sama asja teise instrumendiga siis pead keerme sammu registreerima lõikeserva pikkusena lahtris 8.</t>
  </si>
  <si>
    <t>Märgi freesi läbimõõt lahtrisse 7, lahtrisse 8 plaadi lõikepikkus ja lahtrisse 9 plaatide arv. Vajadusel sooritab programm mitu tsüklit, et saavutada vajalik keerme pikkus.</t>
  </si>
  <si>
    <t>The pitch diameter have been optically messured on thread mills from SmiCut and the theoretical external diameter has been individually laser market on each cutter. This measurement shall be noted in the square beside cutter diameter (square 7). You will most probably get a correct thread straight away. In case you need to make adjustments you can do this in the same square or in the tooling library of the control system.</t>
  </si>
  <si>
    <t xml:space="preserve">If you are using a tool which is not in the list then you can enter cutter diameter, length of cutting edge and number of flutes in square 7-9. </t>
  </si>
  <si>
    <t>The program will automatically make a spiral from start until the thread is finished when you choose a standard cutter type NM with one or two teeth. If you want to do the same with a another tool, then you have to register the pitch as length of cutting edge in square 8.</t>
  </si>
  <si>
    <t>Register the cutter diameter in square 7, in square 8 the cutting length of the insert and in square 9 the number of inserts. If needed, the program will automatically produce the full length of thread in several passes.</t>
  </si>
  <si>
    <t>El diámetro medio de las fresas de roscar de SmiCut está medido ópticamente y después se han marcado con láser el diámetro teórico de la fresa. Esta medida se debe poner en el cuadro que está al lado del diámetro del corte (cuadro 7). Es muy probable que vayas a realizar una rosca correcta directamente. Si necesitas hacer ajustes después se puede hacer en el mismo cuadro o en la biblioteca del control numérico.</t>
  </si>
  <si>
    <t>Si la herramienta que estás usando no está en la lista puedes rellenar el diámetro del corte, la longitud del corte y número de labios en los cuadros 7, 8 y 9.</t>
  </si>
  <si>
    <t>Si eliges una herramienta standard con uno o dos dientes, tipo NM, el programa va a crear automáticamente un ciclo que hace una espiral hasta que la rosca esté terminada. Si quieres hacer un ciclo parecido con otra herramienta, pon el paso como la longitud del corte en cuadro 8.</t>
  </si>
  <si>
    <t>Pon el diámetro del corte del cuerpo en cuadro 7, pon la longitud del corte de la plaquita en cuadro 8 y pon número de labios en cuadro 9. Si es necesario el programa va a hacer automáticamente la rosca en varias pasadas axiales.</t>
  </si>
  <si>
    <t>Smicuten hariztatzeko marrubien diametro erdiak ópticamente neurtu eta gero laserrarekin markatu dute marrubiaren diametro teorikoa. Neurri honek mozketaren diametroaren ondoan dagoen koadroan jarri behar du (koadro 7). Da oso probablea hara uztai zuzen bat egitera zuzenean. Akordioak gero egitea behar baduzu egin ahal da bera koadroan edo zenbakizko kontrolen bibliotekan.</t>
  </si>
  <si>
    <t>Erreminta egon erabili zerrendan ez badago mozketaren diametroa berriz bete ahal duzu, mozketaren longitudean eta ezpainen numeroan koadroetan 7, 8 eta 9.</t>
  </si>
  <si>
    <t>Standard erreminta bat aukeratzen baduzu batekin edo bi hortz, mota NM, programa automatikoki sortzera doa espiral bat egiten duen uztaia amaitu arte ziklo bat. Ziklo bat iruditua egin nahi baduzu beste erreminta batekin, urratsa jar itzazu mozketaren longitudea koadroan 8.</t>
  </si>
  <si>
    <t>Gorputzaren mozketaren diametroa jar itzazu koadroan 7, plaquitaren mozketaren longitudea jar itzazu koadroan 8 eta ezpainen numeroa jar itzazu koadroan 9. Beharrezkoa bada programa automatikoki egitera doa uztaia zenbait iragaite axialetan.</t>
  </si>
  <si>
    <t>Le diamètre de pas a été mesuré par voie optique sur les fraises à fileter de SmiCut et le diamètre externe théorique est gravé au laser sur chaque fraise. Ces mesures doivent être renseignées dans la plage à côté du diamètre de la fraise (plage 7). Vous allez très probablement obtenir un filetage correct dès le début. Au cas ou un ajustement s'avèrerait nécessaire, vous pouvez le faire dans la même plage ou dans la librairie d'outillage du système de contrôle.</t>
  </si>
  <si>
    <t>Si vous utilisez un outil qui ne se trouve pas dans la liste, vous pouvez saisir le diamètre de la fraise, la longueur de coupe et le nombre de dents dans les plages 7-9.</t>
  </si>
  <si>
    <t>Le programme produira automatiquement une spirale dès le débût jusqu'à ce que le filetage soit terminé quand vous choisissez une fraise type NM avec un ou deux dents. Si vous voulez faire la même chose avec un outil différent, vous devez alors enregistrer le pas en tant que longueur de coupe dans la plage 8.</t>
  </si>
  <si>
    <t>Enregistrez le diamètre de la fraise dans la plage 7, renseignez dans la plage 8 la longueur de l’insert et dans la plage 9 le nombre d’inserts. Si besoin, le programme produira automatiquement la longueur totale après plusieurs passages.</t>
  </si>
  <si>
    <t>Il diametro massimo della fresa a filettare è stato misurato otticamente da Smicut ed il diametro esterno teorico è stato marcato a laser su ogni fresa. Questa misura può essere annotata nel riquadro n.7. ottenendo subito un filetto corretto. Nel caso dobbiate fare registrazioni, le potete fare nello stesso riquadro o nella libreria utensili del sistema di controllo.</t>
  </si>
  <si>
    <t>Se state usando un utensile che non è elencato, dovete inserire il diametro fresa, la lunghezza tagliente ed il numero dei taglienti nei riquadri 7, 8 e 9.</t>
  </si>
  <si>
    <t>Il programma genera automaticamente una spirale dall'inizio fino alla fine del filetto quando scegliete una fresa Smicut tipo NM con uno o due denti. Se volete fare lo stesso con unaltro utensile, dovete registrare il passo come lunghezza di taglio nel riquadro 8.</t>
  </si>
  <si>
    <t>Scrivete il diametro della fresa nel riquadro 7, nel riquadro 8 la lunghezza filettata dell'inserto e nel riquadro 9 il numero degli inserti.Se richiesto, il programma produrrà automaticamente l'intera lunghezza della filettatura con diverse passate.</t>
  </si>
  <si>
    <t>A SmiCut menetmarókon a középátmérőt optikailag megmérik és elméleti külső átmérőt lézerjelöléssel feltüntetik minden egyes marón. Ezt az értéket be kell írni a maró átmérő melletti mezőbe (7 jelű). Nagy valószínűséggel így azonnal korrekt menetméretet fog kapni. Ha mégis korrigálni kell, ezt megteheti ugyanebben a mezőben, vagy a vezérlés szerszám könyvtárában.</t>
  </si>
  <si>
    <t>Ha olyan szerszámot használ, amely nincs a listában, beírhatja a maró átmérőjét, hosszát és él számát az 7-9 mezőkbe.</t>
  </si>
  <si>
    <t>Ha az egy vagy kétprofilú NM típusú menetmarót választja, akkor a  program automatikusan előállít egy ciklust, amely egy spirált ír le, amíg el nem készül a menet. Ha ugyanezt akarja tenni egy másik szerszámmal, akkor a menetemelkedést kell beírni a maró él hosszának helyére a 8-os mezőbe.</t>
  </si>
  <si>
    <t>Adja meg a maróátmérőt az 7 jelű mezőben, a 8 jelű mezőben a lapka hosszát és a 9 jelű mezőben a lapkák számát. Szükség esetén a program automatikusan több axiális fogásban állítja elő a teljes menethosszt.</t>
  </si>
  <si>
    <t>Aan de frezen van SmiCut zijn de doorsnede-diameter optisch gemeten, waarna de theoretische buitendiameter op de frees met een laser gemarkeerd is.Deze maat zou in het ingave veld naast de freesdiameter (Veldnr. 7) moeten worden ingegeven. Hoogstwaarschijnlijk zult u direct een correcte draad verkrijgen. Als nadien verdere afstemmingen noodzakelijk zijn dan kunt u deze nogmaals in dit veld aanpassen of in de gereedschapsmap van het besturingssysteem.</t>
  </si>
  <si>
    <t>Als het gebruikte gereedschap niet in de lijst voorkomt kunt u zelf de freesdiameter, snijlengte van de frees en het aantal snijkanten in de velden 7-9 invoeren.</t>
  </si>
  <si>
    <t xml:space="preserve">Als u een standaard frees met één tand resp. twee tanden uitkiest (Type NM), zal het programma automatisch een cyclus  cyclus samenstellen, welke een spiraal genereerd waarbij de draad gereed is. Wilt u handmatig een cyclus met een ander gereedschap maken dan geeft u de spoed en de snijlengte aan in veld nr. 8. </t>
  </si>
  <si>
    <t>Geef de diameter van de frees aan in veld nr.7. Registreer de snijlengte van de wisselplaat in veldnr. 8 en geef in veld nr.9 het aantal snijkanten aan. Indien noodzakelijk, zal het programma de draad in meerdere axiale doorgangen snijden.</t>
  </si>
  <si>
    <t>På gjengefresene fra SmiCut er middeldiameteren målt optisk for deretter å lasermerke teoretisk ytterdiameter på verktøyet. Målet bør skrives i ruten ved siden av ytterdiameter på verktøyet ( rute 7). Du vil sannsynligvis få en riktig gjenge.</t>
  </si>
  <si>
    <t>Om verktøyet du bruker ikke finnes på listen kan du selv fylle inn fresens skjærdiameter, skjærlengde og antall skjær i rute 7-9.</t>
  </si>
  <si>
    <t>Om du velger et standardverktøy met et eller to skjær, type NM, kommer programmet automatisk til å lage en syklus som gjør en spiral til gjengen er ferdig. Om du vil skape en lignende syklus med et annet verktøy angir du stigningen som fresens skjærlengde i rute 8.</t>
  </si>
  <si>
    <t>Skriv fresekroppens skjærdiameter i rute 7, angi vendeskjærets skjærkantlengde i rute 8 og angi antall skjær i rute 9. Om behov foreligger kommer programmet automatisk å lage gjengen aksielt i flere kutt.</t>
  </si>
  <si>
    <t>Wartość skoku głowicy freza SmiCut jest zmieżona przez układoptyczny a teoretyczna średnica zewnętrzna jest podana na każdym frezie. Te dane powinny być wpisane w 7-tym polu formularza. Po wprowadzeniu  tych danych otrzymacie Państwo właściwy gwint. W przypadku konieczności kompensaty położenia można tego dokonać w tym samym polu lub w bibliotece narzędziowej systemu kontrolnego.</t>
  </si>
  <si>
    <t>Program automatycznie utworzy spirale od początku do do końca gwintu kiedy wybrana jest  standardowa głowica NM z jednym lub dwoma zębami na ostrzu.Jeżeli chce się zrobić to samo z innym narzędziem ,należy wprowadzić skok jak i długość krawędzi skrawającej w polu 8</t>
  </si>
  <si>
    <t>W przypadku  narzędzi które nie zostały wymienione w bibliotece  można wprowadzić średnice freza ,długość krawędzi roboczej i ilosc piór w polach 7-9</t>
  </si>
  <si>
    <t>Wprowadź średnice freza w pole 7,  w polu 8 długość krawędzi roboczej płytki a w 9-mym ilość płytek(ostrzy).Jeżeli jest taka potrzeba program wyliczy pełną droge narzędzia w zależnosci od ilosci jego skoków</t>
  </si>
  <si>
    <t>Nas fresas de rosca da SmiCut o diâmetro médio é medido opticamente e o diâmetro teórico imprimido com lazer na fresa. O valor imprimido deve ser digitado no quadrado nr:7, ao lado do diâmetro de trabalho da fresa. A probabilidade da rosca ser correta já de inicio é grande. No caso de você precisar fazer algum ajustamento é só mudar de novo o quadrado nr:5 ou na biblioteca do controle numérico.</t>
  </si>
  <si>
    <t>Se o material desejado não tem na lista sugerida você pode preencher o diâmetro de corte, longitude de corte e quantidade de lábios nos quadrados 7 à 9.</t>
  </si>
  <si>
    <t>Se uma fresa Standard com um ou dois dentes é escolhida, por exemplo NM, automaticamente o programa acrescenta um ciclo que faz um espiral até que a rosca esteja pronta. Se você quiser um ciclo parecido em outro tipo de fresa, digite o tipo de rosca (ISO, Whitworth, etc.), no mesmo quadrado que longitude de corte (quadrado nr:8).</t>
  </si>
  <si>
    <t>Digite o diâmetro de corte no quadrado nr:7, longitude de corte no quadrado nr:8 e quantidade de lábios no quadrado nr:9. Se necessário o programa automaticamente fará a fresa em mais etapas.</t>
  </si>
  <si>
    <t>Diametrul mediu este masurat optic la frezele SmiCut, iar diametrul exterior teoretic este inscriptionat cu laser pe fiecare scula.
Aceasta valoare masurata este notata in cimpul aferent diametrului de taiere (cimpul 7). Se obtine astfel un filet aproximativ corect. In cazul in care trebuie sa faceti ajustari, acestea pot fi facute in acelasi cimp sau in baza de date a sistemului de comanda.</t>
  </si>
  <si>
    <t>Daca utilizati o scula care nu este pe lista, introduceti  in cimpurile 7-9 diametrul de taiere, lungimea partii active si numarul de dinti.</t>
  </si>
  <si>
    <t>Daca alegeti o freza standard tip NM cu unul sau doi dinti, programul va genera automat o spirala de la inceputul pina la sfirsitul prelucrarii .
Daca doriti sa repetati cu o alta scula,  in cimpul 8 introduceti pasul ca fiind lungimea de aschiere.</t>
  </si>
  <si>
    <t>In cimpul 7 se noteaza diametrul de taiere, in cimpul 8 lungimea de taiere a partii active, iar in cimpul 9 numarul de placute. Daca este necesar, programul va genera automat intreaga lungime de filetat in citeva etape.</t>
  </si>
  <si>
    <t>SmiCutin jyrsimissä on keskihalkaisia mitattu optisesti ja teoreettinen ulkohalkaisia laasermerkattu.Tämä mitta siirretään ruutuun 7. Todennäköisesti syntyy täydellinen kierre.Jos tarvetta säätöihin voit tehdä ruudussa.</t>
  </si>
  <si>
    <t>Jos työkalua jota käytät ei ole listalla voit itse täyttää halkaisian,lastuupituuden ja leikkuiden määrän ruuduissa 7-9.</t>
  </si>
  <si>
    <t>Valitse rungon halkaisia ruutuun 7, teränpituus ruutuun 8 ja hammasluku ruutuun 9. Jos tarvetta valitsee ohjelma automaattisesti tarvittavat kierrot.</t>
  </si>
  <si>
    <t>Диаметр шага измерен оптически на резьбовых фрезах SmiCut и теоретический внешний диаметр был индивидуально нанесен лазером на каждый резак. Измерение будет отмечено в квадрате рядом с диаметром резака (квадрат 7). С большой вероятностью вы сразу же получите правильную резьбу. В случае, если вам нужно внести изменения, вы можете сделать это прямо в том же квадрате или в библиотеке инструментов системы управления.</t>
  </si>
  <si>
    <t>Если вы используете инструмент, которого нет в списке, то вы можете ввести диаметр резака, длину режущего края и количество бороздок в квадраты 7-9.</t>
  </si>
  <si>
    <t>Программа автоматически делает спираль от начала до конца резьбы, если выбирать стандартный тип резка NM с одной или двумя зубцами. Если вы хотите делать то же самое с другим инструментом, вам нужно зарегистрировать шаг как длину режущего края в квадрате 8.</t>
  </si>
  <si>
    <t>Зарегистрируйте диаметр резака в квадрате 7, в квадрате 8 режущую длину пластины и в квадрате 9 количество пластин. При необходимости программа автоматически нанесет полную длину резьбы в несколько приемов.</t>
  </si>
  <si>
    <t>ピッチのネジ径はスミカット社で最適な数値を計算いたします。そして、計算上の外径はそれぞれのカッタにレーザーマークされます。その数値はカッタ径の外側のボックス(7)に表示されます。通常お客様の要望にあったカッタがすぐにご覧いただけますが、必要に応じてボックス入力して調整してください。あるいはコントロールシステムのツールライブラリをご覧下さい。</t>
  </si>
  <si>
    <t>もし、お客様がリスト外ツールをご利用の際には、カッタ径、刃長、刃数をボックス7-9にご入力下さい。</t>
  </si>
  <si>
    <t>お客様が、１刃あるいは２刃の標準品ＮＭタイプをご選択いただくと、このプログラムは自動的にねじが完成するまでの１つの螺旋として処理します。もし、他のツールをご利用の際には、ピッチをボックス8の刃長としてご入力下さい。</t>
  </si>
  <si>
    <t>ボックス7にカッタ径をご入力下さい。8にチップの刃長、9にチップの数をご入力下さい。必要に応じて、プログラムは自動的に数パスでねじを切ります。</t>
  </si>
  <si>
    <r>
      <t>通常</t>
    </r>
    <r>
      <rPr>
        <sz val="9"/>
        <rFont val="Verdana"/>
        <family val="2"/>
      </rPr>
      <t>SmiCut</t>
    </r>
    <r>
      <rPr>
        <sz val="9"/>
        <rFont val="細明體"/>
        <family val="3"/>
        <charset val="136"/>
      </rPr>
      <t>會將銑牙刀的外徑以雷射刻在每支銑牙刀的柄上，您可將此外徑登錄到方塊7中以取得更精確的切削數據。</t>
    </r>
  </si>
  <si>
    <r>
      <t>如果您所使用的不是程式清單中刀具，您可自行依據實際的數字去修改方塊7</t>
    </r>
    <r>
      <rPr>
        <sz val="9"/>
        <rFont val="Verdana"/>
        <family val="2"/>
      </rPr>
      <t>~9</t>
    </r>
    <r>
      <rPr>
        <sz val="9"/>
        <rFont val="細明體"/>
        <family val="3"/>
        <charset val="136"/>
      </rPr>
      <t>以取得切削數據。</t>
    </r>
  </si>
  <si>
    <r>
      <t>當您選用</t>
    </r>
    <r>
      <rPr>
        <sz val="9"/>
        <rFont val="Verdana"/>
        <family val="2"/>
      </rPr>
      <t>NM</t>
    </r>
    <r>
      <rPr>
        <sz val="9"/>
        <rFont val="細明體"/>
        <family val="3"/>
        <charset val="136"/>
      </rPr>
      <t>型的刀具以一或二牙去銑牙時，程式會自動提供完成銑牙的數據。如果您想以其他的刀具去完成同樣的牙，只要重新登錄方塊8即可。</t>
    </r>
  </si>
  <si>
    <r>
      <t>如果需要，您可重新依據程式提示的數據再次登錄方塊7、</t>
    </r>
    <r>
      <rPr>
        <sz val="9"/>
        <rFont val="Verdana"/>
        <family val="2"/>
      </rPr>
      <t>8</t>
    </r>
    <r>
      <rPr>
        <sz val="9"/>
        <rFont val="細明體"/>
        <family val="3"/>
        <charset val="136"/>
      </rPr>
      <t>及</t>
    </r>
    <r>
      <rPr>
        <sz val="9"/>
        <rFont val="Verdana"/>
        <family val="2"/>
      </rPr>
      <t>9</t>
    </r>
    <r>
      <rPr>
        <sz val="9"/>
        <rFont val="細明體"/>
        <family val="3"/>
        <charset val="136"/>
      </rPr>
      <t>的數據以取得更精準的切削數據。</t>
    </r>
  </si>
  <si>
    <r>
      <t>SmiCut</t>
    </r>
    <r>
      <rPr>
        <sz val="9"/>
        <rFont val="宋体"/>
        <charset val="134"/>
      </rPr>
      <t>采用光学方法精确测量出螺纹铣刀的螺纹中径，刀具的理论最大外径就用激光直接标记在每一把刀具上。测量结果应填入的位置在</t>
    </r>
    <r>
      <rPr>
        <sz val="9"/>
        <rFont val="Arial"/>
        <family val="2"/>
      </rPr>
      <t>“</t>
    </r>
    <r>
      <rPr>
        <sz val="9"/>
        <rFont val="宋体"/>
        <charset val="134"/>
      </rPr>
      <t>刀具直径</t>
    </r>
    <r>
      <rPr>
        <sz val="9"/>
        <rFont val="Arial"/>
        <family val="2"/>
      </rPr>
      <t>”</t>
    </r>
    <r>
      <rPr>
        <sz val="9"/>
        <rFont val="宋体"/>
        <charset val="134"/>
      </rPr>
      <t>一栏旁边的空格内（第7格）。通常不经修正就可以直接得到准确的螺纹直径。一旦有必要做出修正时，你可以就在这一栏的空格内做出调整，或者也可以调整控制系统的刀库文件中的数值。</t>
    </r>
  </si>
  <si>
    <r>
      <t>如果你使用的刀具在列表中没有，你可以在第7</t>
    </r>
    <r>
      <rPr>
        <sz val="9"/>
        <rFont val="Arial"/>
        <family val="2"/>
      </rPr>
      <t xml:space="preserve"> - 9</t>
    </r>
    <r>
      <rPr>
        <sz val="9"/>
        <rFont val="宋体"/>
        <charset val="134"/>
      </rPr>
      <t>空格中直接输入刀具直径、刃长和刃数。</t>
    </r>
  </si>
  <si>
    <r>
      <t>选择标准型</t>
    </r>
    <r>
      <rPr>
        <sz val="9"/>
        <rFont val="Arial"/>
        <family val="2"/>
      </rPr>
      <t>NM</t>
    </r>
    <r>
      <rPr>
        <sz val="9"/>
        <rFont val="宋体"/>
        <charset val="134"/>
      </rPr>
      <t>，软件就会自动生成螺旋加工程序并在螺纹结束的位置停止。如果想用另外一把刀做同样加工，必须记录螺距以及刃长（第8空格处）。</t>
    </r>
  </si>
  <si>
    <t>第7空格内填入刀具直径，第8空格内填入刀片的切削长度，第9空格内填入刀片的数量。如果需要，软件会自动生成按多个走刀次数完成全部螺纹长度加工的数控程序。</t>
  </si>
  <si>
    <t xml:space="preserve">SmiCut 의 쓰레드 밀에서 피치 직경은 광학적으로 측정되었고, 이론상의 외부      직경은 각각의 공구에 레이져 마킹 되어 있습니다.                                              이 측정값은 공구 직경(사각형 칸 7) 옆의 사각형 칸에 기록되어야 한다.               당신은 아마도 올바른 나사를 바로 얻을 것입니다. 조정할 필요가 있을 경우, 같은 사각형 칸에서 또는 콘트롤 시스템의 툴링 라이브러리에서 이것을 할 수 있습니다. </t>
  </si>
  <si>
    <t xml:space="preserve">만일 목록에 없는 툴을 사용한다면, 공구 직경, 절삭날 길이 그리고 절삭날의 숫자를  사각형 칸 7-9 에 입력할 수 있습니다. </t>
  </si>
  <si>
    <t xml:space="preserve">하나 또는 두개의 이를 가진 표준 쓰레드 밀 타입인 NM을 선택할 경우, 시작으로   부터 나사가 완료될 때까지 프로그램은 나선을 자동적으로 만들 것입니다.            만일 다른 툴로 동일한 작업을 하기 원할 경우, 사각형 칸8 에 절삭날의 길이에 따른 피치를 등록해야 합니다. </t>
  </si>
  <si>
    <t xml:space="preserve">사각형 칸7 에 공구직경을, 사각형 칸8 에 인서트의 절삭가공 길이를, 사각형 칸9 에 인서트의 수를 등록하십시오. 필요하다면 프로그램은 여러번 반복해서 완전한 길이의 공구를 자동적으로 선정 할 것입니다. </t>
  </si>
  <si>
    <t>XBT1616D40_11W_AC</t>
  </si>
  <si>
    <t>XBT1212D28_14W_AC</t>
  </si>
  <si>
    <t>XBT1010D22_19W_AC</t>
  </si>
  <si>
    <t>XBT0606C10_28W_AC</t>
  </si>
  <si>
    <t>XB2020E49_11W_AC</t>
  </si>
  <si>
    <t>XB2020D42_8NPTF_AC</t>
  </si>
  <si>
    <t>XB2020D42_8NPT_AC</t>
  </si>
  <si>
    <t>XB1616E28_14W_AC</t>
  </si>
  <si>
    <t>XB1616D40_11W_AC</t>
  </si>
  <si>
    <t>XB1616D31_11BSPT_AC</t>
  </si>
  <si>
    <t>XB1616D29_11.5NPTF_AC</t>
  </si>
  <si>
    <t>XB1616D29_11.5NPT_AC</t>
  </si>
  <si>
    <t>XB1616D29_11.5NPSF_AC</t>
  </si>
  <si>
    <t>XB1616D22_14NPT_AC</t>
  </si>
  <si>
    <t>XB1212D31_16PG_AC</t>
  </si>
  <si>
    <t>XB1212D28_14W_AC</t>
  </si>
  <si>
    <t>XB1212D22_14NPTF_AC</t>
  </si>
  <si>
    <t>XB1212D22_14NPT_AC</t>
  </si>
  <si>
    <t>XB1212D22_14NPSF_AC</t>
  </si>
  <si>
    <t>XB1212D20_14W_AC</t>
  </si>
  <si>
    <t>XB1212D20_14BSPT_AC</t>
  </si>
  <si>
    <t>XB1212C26_11W_AC</t>
  </si>
  <si>
    <t>XB1010D22_19W_AC</t>
  </si>
  <si>
    <t>XB1010C27_18PG_AC</t>
  </si>
  <si>
    <t>XB0808C21_20PG_AC</t>
  </si>
  <si>
    <t>XB0808C16_18NPTF_AC</t>
  </si>
  <si>
    <t>XB0808C16_18NPT_AC</t>
  </si>
  <si>
    <t>XB0808C16_18NPSF_AC</t>
  </si>
  <si>
    <t>XB0808C15_19W_AC</t>
  </si>
  <si>
    <t>XB0808C15_19BSPT_AC</t>
  </si>
  <si>
    <t>XB0606C12_27NPSF_AC</t>
  </si>
  <si>
    <t>XB0606C10_28W_AC</t>
  </si>
  <si>
    <t>XB0606C10_28BSPT_AC</t>
  </si>
  <si>
    <t>XB0606C10_27NPTF_AC</t>
  </si>
  <si>
    <t>XB0606C10_27NPT_AC</t>
  </si>
  <si>
    <t>NS0404C14.5_P60_AC</t>
  </si>
  <si>
    <t>NS0404C10.0_P60_AC</t>
  </si>
  <si>
    <t>NS04036C8.3_P60_AC</t>
  </si>
  <si>
    <t>NS04036C12.0_P60_AC</t>
  </si>
  <si>
    <t>NS0303C7.1_P60_AC</t>
  </si>
  <si>
    <t>NS0303C10.2_P60_AC</t>
  </si>
  <si>
    <t>NS03026C8.7_P60_AC</t>
  </si>
  <si>
    <t>NS03026C6.1_P60_AC</t>
  </si>
  <si>
    <t>NS03023C7.8_P60_AC</t>
  </si>
  <si>
    <t>NS03023C5.4_P60_AC</t>
  </si>
  <si>
    <t>NS03021C7.1_P60_AC</t>
  </si>
  <si>
    <t>NS03021C4.9_P60_AC</t>
  </si>
  <si>
    <t>NS03019C6.2_P60_AC</t>
  </si>
  <si>
    <t>NS03019C4.3_P60_AC</t>
  </si>
  <si>
    <t>NS03015C5.4_P60_AC</t>
  </si>
  <si>
    <t>NS03015C3.8_P60_AC</t>
  </si>
  <si>
    <t>NM0606C19_1.25ISO_AC</t>
  </si>
  <si>
    <t>NM0606C14_1.25ISO_AC</t>
  </si>
  <si>
    <t>NM06045C14_1.0ISO_AC</t>
  </si>
  <si>
    <t>NM06045C10_1.0ISO_AC</t>
  </si>
  <si>
    <t>NM04038C9_0.8ISO_AC</t>
  </si>
  <si>
    <t>NM04038C12_0.8ISO_AC</t>
  </si>
  <si>
    <t>NM0303C7_0.7ISO_AC</t>
  </si>
  <si>
    <t>NM0303C10_0.7ISO_AC</t>
  </si>
  <si>
    <t>NM03026C8_0.6ISO_AC</t>
  </si>
  <si>
    <t>NM03026C6_0.6ISO_AC</t>
  </si>
  <si>
    <t>NM03023C7_0.5ISO_AC</t>
  </si>
  <si>
    <t>NM03023C5_0.5ISO_AC</t>
  </si>
  <si>
    <t>NM03019C6_0.45ISO_AC</t>
  </si>
  <si>
    <t>NM03019C4_0.45ISO_AC</t>
  </si>
  <si>
    <t>NM03016C5_0.45ISO_AC</t>
  </si>
  <si>
    <t>NM03016C3_0.45ISO_AC</t>
  </si>
  <si>
    <t>NM03015C5_0.4ISO_AC</t>
  </si>
  <si>
    <t>NM03015C3_0.4ISO_AC</t>
  </si>
  <si>
    <t>NF1409C32_1.75ISO_AC</t>
  </si>
  <si>
    <t>NF1409C27_1.75ISO_AC</t>
  </si>
  <si>
    <t>NF1409C20_1.75ISO_AC</t>
  </si>
  <si>
    <t>NF12075C27_1.5ISO_AC</t>
  </si>
  <si>
    <t>NF12075C21_1.5ISO_AC</t>
  </si>
  <si>
    <t>NF12075C17_1.5ISO_AC</t>
  </si>
  <si>
    <t>NF1006C21_1.25ISO_AC</t>
  </si>
  <si>
    <t>NF1006C18_1.25ISO_AC</t>
  </si>
  <si>
    <t>NF1006C14_1.25ISO_AC</t>
  </si>
  <si>
    <t>NF08045C16_1.0ISO_AC</t>
  </si>
  <si>
    <t>NF08045C13_1.0ISO_AC</t>
  </si>
  <si>
    <t>NF08045C10_1.0ISO_AC</t>
  </si>
  <si>
    <t>NF0603C8_0.7ISO_AC</t>
  </si>
  <si>
    <t>NF0603C7_0.7ISO_AC</t>
  </si>
  <si>
    <t>NF0603C12_0.7ISO_AC</t>
  </si>
  <si>
    <t>NF0603C10_0.7ISO_AC</t>
  </si>
  <si>
    <t>NF06038C8_0.8ISO_AC</t>
  </si>
  <si>
    <t>NF06038C16_0.8ISO_AC</t>
  </si>
  <si>
    <t>NF06038C13_0.8ISO_AC</t>
  </si>
  <si>
    <t>NF06038C10_0.8ISO_AC</t>
  </si>
  <si>
    <t>NF06023C9_0.5ISO_AC</t>
  </si>
  <si>
    <t>NF06023C8_0.5ISO_AC</t>
  </si>
  <si>
    <t>NF06023C6_0.5ISO_AC</t>
  </si>
  <si>
    <t>NF06023C5_0.5ISO_AC</t>
  </si>
  <si>
    <t>NBT1616E39_2.0ISO_AC</t>
  </si>
  <si>
    <t>NBT1212D35_2.0ISO_AC</t>
  </si>
  <si>
    <t>NBT1212D29_1.5ISO_AC</t>
  </si>
  <si>
    <t>NBT1010C31_2.0ISO_AC</t>
  </si>
  <si>
    <t>NBT1009C27_1.75ISO_AC</t>
  </si>
  <si>
    <t>NBT0808D17_1.0ISO_AC</t>
  </si>
  <si>
    <t>NBT0808C27_1.75ISO_AC</t>
  </si>
  <si>
    <t>NBT08075C21_1.5ISO_AC</t>
  </si>
  <si>
    <t>NBT0606C18_1.25ISO_AC</t>
  </si>
  <si>
    <t>NBK2020C64_3.5ISO_AC</t>
  </si>
  <si>
    <t>NBK2020C50_3.5ISO_AC</t>
  </si>
  <si>
    <t>NBK1616F35_1.5ISO_AC</t>
  </si>
  <si>
    <t>NBK1616E39_2.0ISO_AC</t>
  </si>
  <si>
    <t>NBK1616C52_3.0ISO_AC</t>
  </si>
  <si>
    <t>NBK1616C40_3.0ISO_AC</t>
  </si>
  <si>
    <t>NBK1615D53_2.5ISO_AC</t>
  </si>
  <si>
    <t>NBK1414D43_2.5ISO_AC</t>
  </si>
  <si>
    <t>NBK1414D33_2.5ISO_AC</t>
  </si>
  <si>
    <t>NBK1212D43_2.0ISO_AC</t>
  </si>
  <si>
    <t>NBK1212D35_2.0ISO_AC</t>
  </si>
  <si>
    <t>NBK1212D29_1.5ISO_AC</t>
  </si>
  <si>
    <t>NBK1212D27_2.0ISO_AC</t>
  </si>
  <si>
    <t>NBK1212C51_2.0ISO_AC</t>
  </si>
  <si>
    <t>NBK1010C31_2.0ISO_AC</t>
  </si>
  <si>
    <t>NBK1010C23_2.0ISO_AC</t>
  </si>
  <si>
    <t>NBK1009C37_1.75ISO_AC</t>
  </si>
  <si>
    <t>NBK1009C32_1.75ISO_AC</t>
  </si>
  <si>
    <t>NBK1009C27_1.75ISO_AC</t>
  </si>
  <si>
    <t>NBK1009C20_1.75ISO_AC</t>
  </si>
  <si>
    <t>NBK0808D17_1.0ISO_AC</t>
  </si>
  <si>
    <t>NBK0808C27_1.75ISO_AC</t>
  </si>
  <si>
    <t>NBK0808C20_1.75ISO_AC</t>
  </si>
  <si>
    <t>NBK08075C32_1.5ISO_AC</t>
  </si>
  <si>
    <t>NBK08075C27_1.5ISO_AC</t>
  </si>
  <si>
    <t>NBK08075C21_1.5ISO_AC</t>
  </si>
  <si>
    <t>NBK08075C17_1.5ISO_AC</t>
  </si>
  <si>
    <t>NBK0606C21_1.25ISO_AC</t>
  </si>
  <si>
    <t>NBK0606C18_1.25ISO_AC</t>
  </si>
  <si>
    <t>NBK0606C14_1.25ISO_AC</t>
  </si>
  <si>
    <t>NBK06045C16_1.0ISO_AC</t>
  </si>
  <si>
    <t>NBK06045C13_1.0ISO_AC</t>
  </si>
  <si>
    <t>NBK06045C10_1.0ISO_AC</t>
  </si>
  <si>
    <t>NBK04038C8_0.8ISO_AC</t>
  </si>
  <si>
    <t>NBK04038C13_0.8ISO_AC</t>
  </si>
  <si>
    <t>NBK04038C10_0.8ISO_AC</t>
  </si>
  <si>
    <t>NB2525F57_2.0ISO_AC</t>
  </si>
  <si>
    <t>NB2525D61_3.0ISO_AC</t>
  </si>
  <si>
    <t>NB2525C78_4.0ISO_AC</t>
  </si>
  <si>
    <t>NB2525C61_6UN_AC</t>
  </si>
  <si>
    <t>NB2525C58_4.0ISO_AC</t>
  </si>
  <si>
    <t>NB2020F43_2.0ISO_AC</t>
  </si>
  <si>
    <t>NB2020D49_8UN_AC</t>
  </si>
  <si>
    <t>NB2020D46_3.0ISO_AC</t>
  </si>
  <si>
    <t>NB2020C78_3.5ISO_AC</t>
  </si>
  <si>
    <t>NB2020C64_3.5ISO_AC</t>
  </si>
  <si>
    <t>NB2020C52_7UN_AC</t>
  </si>
  <si>
    <t>NB2020C50_3.5ISO_AC</t>
  </si>
  <si>
    <t>NB1818C64_3.0ISO_AC</t>
  </si>
  <si>
    <t>NB1616F35_1.5ISO_AC</t>
  </si>
  <si>
    <t>NB1616F26_1.5ISO_AC</t>
  </si>
  <si>
    <t>NB1616F18_1.5ISO_AC</t>
  </si>
  <si>
    <t>NB1616E46_14UN_AC</t>
  </si>
  <si>
    <t>NB1616E43_12UN_AC</t>
  </si>
  <si>
    <t>NB1616E39_2.0ISO_AC</t>
  </si>
  <si>
    <t>NB1616E35_16UN_AC</t>
  </si>
  <si>
    <t>NB1616E35_14UN_AC</t>
  </si>
  <si>
    <t>NB1616E29_2.0ISO_AC</t>
  </si>
  <si>
    <t>NB1616C55_8UN_AC</t>
  </si>
  <si>
    <t>NB1616C52_3.0ISO_AC</t>
  </si>
  <si>
    <t>NB1616C49_9UN_AC</t>
  </si>
  <si>
    <t>NB1616C42_8UN_AC</t>
  </si>
  <si>
    <t>NB1616C40_3.0ISO_AC</t>
  </si>
  <si>
    <t>NB1616C38_9UN_AC</t>
  </si>
  <si>
    <t>NB1615D53_2.5ISO_AC</t>
  </si>
  <si>
    <t>NB1615C63_2.5ISO_AC</t>
  </si>
  <si>
    <t>NB1414D43_2.5ISO_AC</t>
  </si>
  <si>
    <t>NB1414D33_2.5ISO_AC</t>
  </si>
  <si>
    <t>NB1212F21_1.0ISO_AC</t>
  </si>
  <si>
    <t>NB1212F15_1.0ISO_AC</t>
  </si>
  <si>
    <t>NB1212E28_20UN_AC</t>
  </si>
  <si>
    <t>NB1212D43_2.0ISO_AC</t>
  </si>
  <si>
    <t>NB1212D40_16UN_AC</t>
  </si>
  <si>
    <t>NB1212D35_2.0ISO_AC</t>
  </si>
  <si>
    <t>NB1212D33_18UN_AC</t>
  </si>
  <si>
    <t>NB1212D31_16UN_AC</t>
  </si>
  <si>
    <t>NB1212D29_1.5ISO_AC</t>
  </si>
  <si>
    <t>NB1212D27_2.0ISO_AC</t>
  </si>
  <si>
    <t>NB1212D26_18UN_AC</t>
  </si>
  <si>
    <t>NB1212D21_1.5ISO_AC</t>
  </si>
  <si>
    <t>NB1212D15_1.5ISO_AC</t>
  </si>
  <si>
    <t>NB1212C51_2.0ISO_AC</t>
  </si>
  <si>
    <t>NB1212C48_2.5ISO_AC</t>
  </si>
  <si>
    <t>NB1212C41_10UN_AC</t>
  </si>
  <si>
    <t>NB1212C38_2.5ISO_AC</t>
  </si>
  <si>
    <t>NB1212C31_2.5ISO_AC</t>
  </si>
  <si>
    <t>NB1212C31_10UN_AC</t>
  </si>
  <si>
    <t>NB12117C42_11UN_AC</t>
  </si>
  <si>
    <t>NB1010E19_1.0ISO_AC</t>
  </si>
  <si>
    <t>NB1010E14_1.0ISO_ AC</t>
  </si>
  <si>
    <t>NB1010D30_18UN_AC</t>
  </si>
  <si>
    <t>NB1010D27_20UN_AC</t>
  </si>
  <si>
    <t>NB1010D23_18UN_AC</t>
  </si>
  <si>
    <t>NB1010D23_1.5ISO_AC</t>
  </si>
  <si>
    <t>NB1010D21_20UN_AC</t>
  </si>
  <si>
    <t>NB1010D17_1.5ISO_AC</t>
  </si>
  <si>
    <t>NB1010C37_2.0ISO_AC</t>
  </si>
  <si>
    <t>NB1010C35_11UN_AC</t>
  </si>
  <si>
    <t>NB1010C31_2.0ISO_AC</t>
  </si>
  <si>
    <t>NB1010C30_12UN_AC</t>
  </si>
  <si>
    <t>NB1010C26_11UN_AC</t>
  </si>
  <si>
    <t>NB1010C24_12UN_AC</t>
  </si>
  <si>
    <t>NB1010C23_2.0ISO_AC</t>
  </si>
  <si>
    <t>NB1009C37_1.75ISO_AC</t>
  </si>
  <si>
    <t>NB1009C32_1.75ISO_AC</t>
  </si>
  <si>
    <t>NB1009C27_1.75ISO_AC</t>
  </si>
  <si>
    <t>NB1009C20_1.75ISO_AC</t>
  </si>
  <si>
    <t>NB10093C34_13UN_AC</t>
  </si>
  <si>
    <t>NB0808D17_28UN_AC</t>
  </si>
  <si>
    <t>NB0808D17_1.0ISO_AC</t>
  </si>
  <si>
    <t>NB0808D13_1.0ISO_AC</t>
  </si>
  <si>
    <t>NB0808D10_1.0ISO_AC</t>
  </si>
  <si>
    <t>NB0808C30_14UN_AC</t>
  </si>
  <si>
    <t>NB0808C28_13UN_AC</t>
  </si>
  <si>
    <t>NB0808C27_1.75ISO_AC</t>
  </si>
  <si>
    <t>NB0808C24_14UN_AC</t>
  </si>
  <si>
    <t>NB0808C23_20UN_AC</t>
  </si>
  <si>
    <t>NB0808C22_13UN_AC</t>
  </si>
  <si>
    <t>NB0808C20_1.75ISO_AC</t>
  </si>
  <si>
    <t>NB0808C19_14UN_AC</t>
  </si>
  <si>
    <t>NB0808C18_20UN_AC</t>
  </si>
  <si>
    <t>NB0807C26_16UN_AC</t>
  </si>
  <si>
    <t>NB08076C20_24UN_AC</t>
  </si>
  <si>
    <t>NB08076C15_24UN_AC</t>
  </si>
  <si>
    <t>NB08075C32_1.5ISO_AC</t>
  </si>
  <si>
    <t>NB08075C27_1.5ISO_AC</t>
  </si>
  <si>
    <t>NB08075C21_1.5ISO_AC</t>
  </si>
  <si>
    <t>NB08075C17_1.5ISO_AC</t>
  </si>
  <si>
    <t>NB0606D13_32UN_AC</t>
  </si>
  <si>
    <t>NB0606C25_1.25ISO_AC</t>
  </si>
  <si>
    <t>NB0606C21_16UN_AC</t>
  </si>
  <si>
    <t>NB0606C21_1.25ISO_AC</t>
  </si>
  <si>
    <t>NB0606C18_1.25ISO_AC</t>
  </si>
  <si>
    <t>NB0606C17_24UN_AC</t>
  </si>
  <si>
    <t>NB0606C16_16UN_AC</t>
  </si>
  <si>
    <t>NB0606C14_1.25ISO_AC</t>
  </si>
  <si>
    <t>NB0606C13_24UN_AC</t>
  </si>
  <si>
    <t>NB0606C13_1.0ISO_AC</t>
  </si>
  <si>
    <t>NB0606C10_1.0ISO_AC</t>
  </si>
  <si>
    <t>NB0605C14_28UN_AC</t>
  </si>
  <si>
    <t>NB0605C10_28UN_AC</t>
  </si>
  <si>
    <t>NB06058C21_18UN_AC</t>
  </si>
  <si>
    <t>NB06058C17_18UN_AC</t>
  </si>
  <si>
    <t>NB06058C13_18UN_AC</t>
  </si>
  <si>
    <t>NB06045C19_1.0ISO_AC</t>
  </si>
  <si>
    <t>NB06045C17_20UN_AC</t>
  </si>
  <si>
    <t>NB06045C16_1.0ISO_AC</t>
  </si>
  <si>
    <t>NB06045C16_0.75ISO_AC</t>
  </si>
  <si>
    <t>NB06045C14_20UN_AC</t>
  </si>
  <si>
    <t>NB06045C13_1.0ISO_AC</t>
  </si>
  <si>
    <t>NB06045C10_20UN_AC</t>
  </si>
  <si>
    <t>NB06045C10_1.0ISO_AC</t>
  </si>
  <si>
    <t>NB06045C10_0.75ISO_AC</t>
  </si>
  <si>
    <t>NB0603C8_0.7ISO_AC</t>
  </si>
  <si>
    <t>NB0603C7_0.7ISO_AC</t>
  </si>
  <si>
    <t>NB0603C10_0.7ISO_AC</t>
  </si>
  <si>
    <t>NB06038C8_0.8ISO_AC</t>
  </si>
  <si>
    <t>NB06038C13_0.8ISO_AC</t>
  </si>
  <si>
    <t>NB06038C10_0.8ISO_AC</t>
  </si>
  <si>
    <t>NB06038C10_0.5ISO_AC</t>
  </si>
  <si>
    <t>NB06023C8_0.5ISO_AC</t>
  </si>
  <si>
    <t>NB06023C6_0.5ISO_AC</t>
  </si>
  <si>
    <t>NB06023C5_0.5ISO_AC</t>
  </si>
  <si>
    <t>NB0404C9_28UN_AC</t>
  </si>
  <si>
    <t>NB0404C15_24UN_AC</t>
  </si>
  <si>
    <t>NB0404C12_28UN_AC</t>
  </si>
  <si>
    <t>NB0404C12_24UN_AC</t>
  </si>
  <si>
    <t>NB0404C10_24UN_AC</t>
  </si>
  <si>
    <t>NB0403C9_32UN_AC</t>
  </si>
  <si>
    <t>NB0403C8_0.7ISO_AC</t>
  </si>
  <si>
    <t>NB0403C7_32UN_AC</t>
  </si>
  <si>
    <t>NB0403C7_0.7ISO_AC</t>
  </si>
  <si>
    <t>NB0403C11_32UN_AC</t>
  </si>
  <si>
    <t>NB0403C10_0.7ISO_AC</t>
  </si>
  <si>
    <t>NB04038C9_24UN_AC</t>
  </si>
  <si>
    <t>NB04038C8_0.8ISO_AC</t>
  </si>
  <si>
    <t>NB04038C13_24UN_AC</t>
  </si>
  <si>
    <t>NB04038C13_0.8ISO_AC</t>
  </si>
  <si>
    <t>NB04038C11_24UN_AC</t>
  </si>
  <si>
    <t>NB04038C10_0.8ISO_AC</t>
  </si>
  <si>
    <t>NB04038C10_0.5ISO_AC</t>
  </si>
  <si>
    <t>NB04036C8_32UN_AC</t>
  </si>
  <si>
    <t>NB04036C10_32UN_AC</t>
  </si>
  <si>
    <t>NB04034C7_0.75ISO_AC</t>
  </si>
  <si>
    <t>NB04034C10_0.75ISO_AC</t>
  </si>
  <si>
    <t>NB04031C9_36UN_AC</t>
  </si>
  <si>
    <t>NB04031C7_36UN_AC</t>
  </si>
  <si>
    <t>NB04026C8_0.6ISO_AC</t>
  </si>
  <si>
    <t>NB04026C6_40UN_AC</t>
  </si>
  <si>
    <t>NB04026C6_0.6ISO_AC</t>
  </si>
  <si>
    <t>NB04025C8_32UN_AC</t>
  </si>
  <si>
    <t>NB04025C6_32UN_AC</t>
  </si>
  <si>
    <t>NB04025C10_32UN_AC</t>
  </si>
  <si>
    <t>NB04024C5_44UN_AC</t>
  </si>
  <si>
    <t>NB04023C8_40UN_AC</t>
  </si>
  <si>
    <t>NB04023C8_0.5ISO_AC</t>
  </si>
  <si>
    <t>NB04023C7_40UN_AC</t>
  </si>
  <si>
    <t>NB04023C6_0.5ISO_AC</t>
  </si>
  <si>
    <t>NB04023C5_40UN_AC</t>
  </si>
  <si>
    <t>NB04023C5_0.5ISO_AC</t>
  </si>
  <si>
    <t>NB04019C5_0.45ISO_AC</t>
  </si>
  <si>
    <t>NB04019C4_0.45ISO_AC</t>
  </si>
  <si>
    <t>NB04016C5_0.45ISO_AC</t>
  </si>
  <si>
    <t>NB04016C3_0.45ISO_AC</t>
  </si>
  <si>
    <t>NB04015C4_0.4ISO_AC</t>
  </si>
  <si>
    <t>NB04015C3_0.4ISO_AC</t>
  </si>
  <si>
    <t>EB1616D35_2.0ISO_AC</t>
  </si>
  <si>
    <t>EB1212D26_1.5ISO_AC</t>
  </si>
  <si>
    <t>EB1010D21_1.0ISO_AC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</si>
</sst>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45">
    <font>
      <sz val="10"/>
      <name val="Verdana"/>
    </font>
    <font>
      <b/>
      <sz val="10"/>
      <name val="Verdana"/>
      <family val="2"/>
    </font>
    <font>
      <sz val="10"/>
      <name val="Verdana"/>
      <family val="2"/>
    </font>
    <font>
      <u/>
      <sz val="10"/>
      <color indexed="12"/>
      <name val="Verdana"/>
      <family val="2"/>
    </font>
    <font>
      <sz val="8"/>
      <name val="Verdana"/>
      <family val="2"/>
    </font>
    <font>
      <sz val="9"/>
      <name val="Verdana"/>
      <family val="2"/>
    </font>
    <font>
      <b/>
      <u/>
      <sz val="10"/>
      <name val="Verdana"/>
      <family val="2"/>
    </font>
    <font>
      <b/>
      <sz val="9"/>
      <name val="Verdana"/>
      <family val="2"/>
    </font>
    <font>
      <b/>
      <sz val="9"/>
      <color indexed="10"/>
      <name val="Verdana"/>
      <family val="2"/>
    </font>
    <font>
      <u/>
      <sz val="9"/>
      <color indexed="12"/>
      <name val="Verdana"/>
      <family val="2"/>
    </font>
    <font>
      <b/>
      <sz val="11"/>
      <name val="Verdana"/>
      <family val="2"/>
    </font>
    <font>
      <sz val="10"/>
      <name val="Verdana"/>
      <family val="2"/>
    </font>
    <font>
      <b/>
      <sz val="11"/>
      <color indexed="10"/>
      <name val="Verdana"/>
      <family val="2"/>
    </font>
    <font>
      <sz val="9"/>
      <name val="Arial"/>
      <family val="2"/>
    </font>
    <font>
      <b/>
      <sz val="11"/>
      <name val="Arial"/>
      <family val="2"/>
    </font>
    <font>
      <sz val="11"/>
      <name val="Arial"/>
      <family val="2"/>
    </font>
    <font>
      <sz val="10"/>
      <name val="細明體"/>
      <family val="3"/>
      <charset val="136"/>
    </font>
    <font>
      <sz val="9"/>
      <name val="細明體"/>
      <family val="3"/>
      <charset val="136"/>
    </font>
    <font>
      <sz val="9"/>
      <name val="新細明體"/>
      <family val="1"/>
      <charset val="136"/>
    </font>
    <font>
      <sz val="9"/>
      <name val="돋움"/>
      <family val="3"/>
    </font>
    <font>
      <b/>
      <sz val="11"/>
      <name val="돋움"/>
      <family val="3"/>
    </font>
    <font>
      <sz val="9"/>
      <name val="ＭＳ Ｐゴシック"/>
      <family val="3"/>
      <charset val="128"/>
    </font>
    <font>
      <b/>
      <sz val="9"/>
      <name val="ＭＳ Ｐゴシック"/>
      <family val="2"/>
      <charset val="128"/>
    </font>
    <font>
      <b/>
      <sz val="10"/>
      <name val="ＭＳ Ｐゴシック"/>
      <family val="3"/>
      <charset val="128"/>
    </font>
    <font>
      <sz val="10"/>
      <name val="宋体"/>
      <charset val="134"/>
    </font>
    <font>
      <sz val="10"/>
      <name val="Arial"/>
      <family val="2"/>
    </font>
    <font>
      <sz val="10"/>
      <color indexed="8"/>
      <name val="宋体"/>
      <charset val="134"/>
    </font>
    <font>
      <sz val="10"/>
      <color indexed="8"/>
      <name val="Arial"/>
      <family val="2"/>
    </font>
    <font>
      <b/>
      <sz val="11"/>
      <name val="宋体"/>
      <charset val="134"/>
    </font>
    <font>
      <sz val="9"/>
      <name val="宋体"/>
      <charset val="134"/>
    </font>
    <font>
      <b/>
      <sz val="9"/>
      <name val="宋体"/>
      <charset val="134"/>
    </font>
    <font>
      <sz val="9"/>
      <color indexed="8"/>
      <name val="Arial"/>
      <family val="2"/>
    </font>
    <font>
      <b/>
      <sz val="9"/>
      <color theme="1"/>
      <name val="Verdana"/>
      <family val="2"/>
    </font>
    <font>
      <sz val="9"/>
      <color rgb="FF000000"/>
      <name val="Verdana"/>
      <family val="2"/>
    </font>
    <font>
      <i/>
      <sz val="10"/>
      <name val="Verdana"/>
      <family val="2"/>
    </font>
    <font>
      <b/>
      <i/>
      <sz val="9"/>
      <color indexed="10"/>
      <name val="Verdana"/>
      <family val="2"/>
    </font>
    <font>
      <b/>
      <sz val="11"/>
      <color theme="4" tint="-0.249977111117893"/>
      <name val="Verdana"/>
      <family val="2"/>
    </font>
    <font>
      <b/>
      <sz val="11"/>
      <color theme="4" tint="-0.24994659260841701"/>
      <name val="Verdana"/>
      <family val="2"/>
    </font>
    <font>
      <sz val="11"/>
      <name val="Verdana"/>
      <family val="2"/>
    </font>
    <font>
      <b/>
      <sz val="11"/>
      <color rgb="FF00B050"/>
      <name val="Verdana"/>
      <family val="2"/>
    </font>
    <font>
      <u/>
      <sz val="11"/>
      <color indexed="12"/>
      <name val="Verdana"/>
      <family val="2"/>
    </font>
    <font>
      <b/>
      <sz val="11"/>
      <color theme="1"/>
      <name val="Verdana"/>
      <family val="2"/>
    </font>
    <font>
      <sz val="11"/>
      <color theme="1"/>
      <name val="Verdana"/>
      <family val="2"/>
    </font>
    <font>
      <sz val="10"/>
      <color theme="1"/>
      <name val="Verdana"/>
      <family val="2"/>
    </font>
    <font>
      <b/>
      <sz val="28"/>
      <color theme="1"/>
      <name val="Verdana Fet"/>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FF99CC"/>
        <bgColor rgb="FF000000"/>
      </patternFill>
    </fill>
    <fill>
      <patternFill patternType="lightGrid">
        <fgColor rgb="FFF5F5F5"/>
        <bgColor theme="0" tint="-4.9989318521683403E-2"/>
      </patternFill>
    </fill>
    <fill>
      <patternFill patternType="lightTrellis">
        <fgColor rgb="FFCDE4F6"/>
        <bgColor theme="0" tint="-4.9989318521683403E-2"/>
      </patternFill>
    </fill>
    <fill>
      <patternFill patternType="lightTrellis">
        <fgColor rgb="FFC7E1C3"/>
        <bgColor theme="0" tint="-4.9989318521683403E-2"/>
      </patternFill>
    </fill>
  </fills>
  <borders count="8">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2" fillId="0" borderId="0"/>
  </cellStyleXfs>
  <cellXfs count="203">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0" fontId="5" fillId="0" borderId="0" xfId="0" applyFont="1" applyFill="1" applyAlignment="1"/>
    <xf numFmtId="1" fontId="5" fillId="0" borderId="0" xfId="0" applyNumberFormat="1" applyFont="1" applyAlignment="1">
      <alignment horizontal="center"/>
    </xf>
    <xf numFmtId="2" fontId="7"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164" fontId="5" fillId="2" borderId="0" xfId="0" applyNumberFormat="1" applyFont="1" applyFill="1" applyAlignment="1">
      <alignment horizontal="center"/>
    </xf>
    <xf numFmtId="0" fontId="7" fillId="0" borderId="0" xfId="0" applyFont="1" applyFill="1" applyAlignment="1">
      <alignment horizontal="center"/>
    </xf>
    <xf numFmtId="165" fontId="7" fillId="0" borderId="0" xfId="0" applyNumberFormat="1" applyFont="1" applyAlignment="1">
      <alignment horizontal="center"/>
    </xf>
    <xf numFmtId="1" fontId="7"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Fill="1" applyAlignment="1">
      <alignment horizontal="center"/>
    </xf>
    <xf numFmtId="0" fontId="5" fillId="0" borderId="0" xfId="0" applyNumberFormat="1" applyFont="1" applyAlignment="1">
      <alignment horizontal="center"/>
    </xf>
    <xf numFmtId="0" fontId="5" fillId="0" borderId="0" xfId="0" applyNumberFormat="1" applyFont="1" applyFill="1" applyAlignment="1">
      <alignment horizontal="center"/>
    </xf>
    <xf numFmtId="0" fontId="5" fillId="2" borderId="0" xfId="0" applyFont="1" applyFill="1" applyAlignment="1">
      <alignment horizontal="center"/>
    </xf>
    <xf numFmtId="0" fontId="5" fillId="0" borderId="0" xfId="0" applyFont="1" applyFill="1" applyAlignment="1">
      <alignment horizontal="center"/>
    </xf>
    <xf numFmtId="0" fontId="5" fillId="3" borderId="0" xfId="0" applyFont="1" applyFill="1" applyAlignment="1">
      <alignment horizontal="center"/>
    </xf>
    <xf numFmtId="0" fontId="5" fillId="4" borderId="0" xfId="0" applyNumberFormat="1" applyFont="1" applyFill="1" applyAlignment="1">
      <alignment horizontal="center"/>
    </xf>
    <xf numFmtId="0" fontId="0" fillId="0" borderId="0" xfId="0" applyFill="1"/>
    <xf numFmtId="0" fontId="0" fillId="0" borderId="0" xfId="0" applyAlignment="1">
      <alignment horizontal="center"/>
    </xf>
    <xf numFmtId="164" fontId="0" fillId="3" borderId="0" xfId="0" applyNumberFormat="1" applyFill="1" applyAlignment="1">
      <alignment horizontal="center"/>
    </xf>
    <xf numFmtId="0" fontId="0" fillId="2" borderId="0" xfId="0" applyFill="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2" fontId="0" fillId="3" borderId="0" xfId="0" applyNumberFormat="1" applyFill="1" applyAlignment="1">
      <alignment horizontal="center"/>
    </xf>
    <xf numFmtId="2" fontId="5" fillId="0" borderId="0" xfId="0" applyNumberFormat="1" applyFont="1" applyFill="1" applyAlignment="1">
      <alignment horizontal="center"/>
    </xf>
    <xf numFmtId="2" fontId="5" fillId="0" borderId="0" xfId="0" applyNumberFormat="1" applyFont="1" applyAlignment="1">
      <alignment horizontal="left"/>
    </xf>
    <xf numFmtId="0" fontId="5" fillId="0" borderId="0" xfId="0" applyFont="1" applyAlignment="1">
      <alignment horizontal="center"/>
    </xf>
    <xf numFmtId="0" fontId="5" fillId="0" borderId="0" xfId="0" applyFont="1"/>
    <xf numFmtId="164" fontId="0" fillId="0" borderId="0" xfId="0" applyNumberForma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7" fillId="0" borderId="0" xfId="0" applyNumberFormat="1" applyFont="1" applyAlignment="1">
      <alignment horizontal="center"/>
    </xf>
    <xf numFmtId="0" fontId="5" fillId="2" borderId="0" xfId="0" applyNumberFormat="1" applyFont="1" applyFill="1" applyAlignment="1">
      <alignment horizontal="center"/>
    </xf>
    <xf numFmtId="0" fontId="6" fillId="0" borderId="0" xfId="0" applyFont="1" applyFill="1" applyAlignment="1"/>
    <xf numFmtId="0" fontId="0" fillId="0" borderId="0" xfId="0" applyNumberFormat="1" applyAlignment="1">
      <alignment horizontal="center"/>
    </xf>
    <xf numFmtId="0" fontId="0" fillId="0" borderId="0" xfId="0" applyFill="1" applyAlignment="1">
      <alignment horizontal="center"/>
    </xf>
    <xf numFmtId="0" fontId="5" fillId="0" borderId="0" xfId="0" applyFont="1" applyAlignment="1">
      <alignment horizontal="left"/>
    </xf>
    <xf numFmtId="0" fontId="5" fillId="0" borderId="0" xfId="0" applyNumberFormat="1" applyFont="1" applyAlignment="1">
      <alignment horizontal="left"/>
    </xf>
    <xf numFmtId="0" fontId="0" fillId="3" borderId="0" xfId="0" applyFill="1"/>
    <xf numFmtId="0" fontId="5" fillId="3" borderId="0" xfId="0" applyNumberFormat="1" applyFont="1" applyFill="1" applyAlignment="1">
      <alignment horizontal="center"/>
    </xf>
    <xf numFmtId="0" fontId="0" fillId="3" borderId="0" xfId="0" applyFill="1" applyAlignment="1">
      <alignment horizontal="center"/>
    </xf>
    <xf numFmtId="0" fontId="7" fillId="3" borderId="0" xfId="0" applyNumberFormat="1" applyFont="1" applyFill="1" applyAlignment="1">
      <alignment horizontal="center"/>
    </xf>
    <xf numFmtId="0" fontId="0" fillId="2" borderId="0" xfId="0" applyNumberFormat="1" applyFill="1" applyAlignment="1">
      <alignment horizontal="center"/>
    </xf>
    <xf numFmtId="0" fontId="5" fillId="0" borderId="0" xfId="0" applyFont="1" applyFill="1"/>
    <xf numFmtId="0" fontId="5" fillId="3" borderId="0" xfId="0" applyFont="1" applyFill="1"/>
    <xf numFmtId="0" fontId="10" fillId="3" borderId="0" xfId="0" applyFont="1" applyFill="1" applyAlignment="1">
      <alignment wrapText="1"/>
    </xf>
    <xf numFmtId="0" fontId="5" fillId="3" borderId="0" xfId="0" applyFont="1" applyFill="1" applyAlignment="1">
      <alignment vertical="top" wrapText="1"/>
    </xf>
    <xf numFmtId="0" fontId="5" fillId="3" borderId="0" xfId="0" applyFont="1" applyFill="1" applyAlignment="1">
      <alignment wrapText="1"/>
    </xf>
    <xf numFmtId="0" fontId="10" fillId="0" borderId="0" xfId="0" applyFont="1" applyFill="1" applyAlignment="1">
      <alignment wrapText="1"/>
    </xf>
    <xf numFmtId="0" fontId="5" fillId="0" borderId="0" xfId="0" applyFont="1" applyFill="1" applyAlignment="1">
      <alignment vertical="top" wrapText="1"/>
    </xf>
    <xf numFmtId="0" fontId="5" fillId="0" borderId="0" xfId="0" applyFont="1" applyFill="1" applyAlignment="1">
      <alignment wrapText="1"/>
    </xf>
    <xf numFmtId="2" fontId="1" fillId="0" borderId="0" xfId="0" applyNumberFormat="1" applyFont="1" applyAlignment="1">
      <alignment horizontal="right"/>
    </xf>
    <xf numFmtId="2" fontId="0" fillId="0" borderId="0" xfId="0" applyNumberFormat="1"/>
    <xf numFmtId="0" fontId="0" fillId="4" borderId="0" xfId="0" applyFill="1" applyAlignment="1" applyProtection="1">
      <alignment horizontal="center"/>
      <protection locked="0"/>
    </xf>
    <xf numFmtId="14" fontId="5" fillId="0" borderId="0" xfId="0" applyNumberFormat="1" applyFont="1"/>
    <xf numFmtId="0" fontId="12" fillId="3" borderId="0" xfId="0" applyFont="1" applyFill="1" applyAlignment="1">
      <alignment wrapText="1"/>
    </xf>
    <xf numFmtId="0" fontId="0" fillId="0" borderId="0" xfId="0" applyBorder="1"/>
    <xf numFmtId="0" fontId="5" fillId="0" borderId="0" xfId="0" applyFont="1" applyBorder="1"/>
    <xf numFmtId="0" fontId="5" fillId="0" borderId="0" xfId="0" applyNumberFormat="1" applyFont="1" applyBorder="1" applyAlignment="1">
      <alignment horizontal="left"/>
    </xf>
    <xf numFmtId="0" fontId="5" fillId="0" borderId="0" xfId="0" applyFont="1" applyBorder="1" applyAlignment="1">
      <alignment horizontal="left"/>
    </xf>
    <xf numFmtId="0" fontId="10" fillId="0" borderId="0" xfId="0" applyFont="1" applyBorder="1"/>
    <xf numFmtId="0" fontId="5" fillId="0" borderId="0" xfId="0" applyFont="1" applyBorder="1" applyAlignment="1">
      <alignment vertical="top" wrapText="1"/>
    </xf>
    <xf numFmtId="0" fontId="10" fillId="0" borderId="0" xfId="0" applyFont="1"/>
    <xf numFmtId="0" fontId="5" fillId="0" borderId="0" xfId="0" applyFont="1" applyAlignment="1">
      <alignment vertical="top" wrapText="1"/>
    </xf>
    <xf numFmtId="0" fontId="5" fillId="0" borderId="0" xfId="0" applyFont="1" applyAlignment="1">
      <alignment vertical="top"/>
    </xf>
    <xf numFmtId="0" fontId="10" fillId="0" borderId="0" xfId="0" applyFont="1" applyAlignment="1">
      <alignment vertical="top"/>
    </xf>
    <xf numFmtId="0" fontId="0" fillId="0" borderId="0" xfId="0" applyAlignment="1">
      <alignment wrapText="1"/>
    </xf>
    <xf numFmtId="0" fontId="1"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7" fillId="0" borderId="0" xfId="0" applyFont="1" applyFill="1" applyAlignment="1"/>
    <xf numFmtId="0" fontId="17" fillId="0" borderId="0" xfId="0" applyFont="1" applyFill="1"/>
    <xf numFmtId="0" fontId="17" fillId="0" borderId="0" xfId="0" applyFont="1"/>
    <xf numFmtId="0" fontId="16" fillId="0" borderId="0" xfId="0" applyFont="1" applyAlignment="1">
      <alignment wrapText="1"/>
    </xf>
    <xf numFmtId="0" fontId="2" fillId="0" borderId="0" xfId="0" applyFont="1" applyAlignment="1">
      <alignment wrapText="1"/>
    </xf>
    <xf numFmtId="0" fontId="5" fillId="0" borderId="0" xfId="0" applyFont="1" applyFill="1" applyAlignment="1">
      <alignment horizontal="left" vertical="top" wrapText="1"/>
    </xf>
    <xf numFmtId="0" fontId="19" fillId="0" borderId="0" xfId="0" applyFont="1" applyFill="1" applyAlignment="1"/>
    <xf numFmtId="0" fontId="19" fillId="0" borderId="0" xfId="0" applyFont="1" applyFill="1"/>
    <xf numFmtId="0" fontId="19" fillId="0" borderId="0" xfId="0" applyFont="1"/>
    <xf numFmtId="0" fontId="20" fillId="0" borderId="0" xfId="0" applyFont="1" applyAlignment="1">
      <alignment vertical="top" wrapText="1"/>
    </xf>
    <xf numFmtId="0" fontId="0" fillId="0" borderId="0" xfId="0" applyAlignment="1">
      <alignment vertical="top" wrapText="1"/>
    </xf>
    <xf numFmtId="0" fontId="21" fillId="0" borderId="0" xfId="0" applyFont="1"/>
    <xf numFmtId="0" fontId="22" fillId="0" borderId="0" xfId="0" applyFont="1" applyAlignment="1">
      <alignment horizontal="center"/>
    </xf>
    <xf numFmtId="0" fontId="23" fillId="0" borderId="0" xfId="0" applyFont="1"/>
    <xf numFmtId="0" fontId="23" fillId="0" borderId="0" xfId="0" applyFont="1" applyFill="1"/>
    <xf numFmtId="0" fontId="24" fillId="0" borderId="0" xfId="0" applyFont="1"/>
    <xf numFmtId="0" fontId="25" fillId="0" borderId="0" xfId="0" applyFont="1"/>
    <xf numFmtId="0" fontId="26" fillId="0" borderId="0" xfId="0" applyFont="1"/>
    <xf numFmtId="0" fontId="28" fillId="0" borderId="0" xfId="0" applyFont="1" applyAlignment="1">
      <alignment horizontal="left" vertical="top"/>
    </xf>
    <xf numFmtId="0" fontId="29" fillId="0" borderId="0" xfId="0" applyFont="1" applyAlignment="1">
      <alignment horizontal="left" vertical="top" wrapText="1"/>
    </xf>
    <xf numFmtId="0" fontId="25" fillId="0" borderId="0" xfId="0" applyFont="1" applyAlignment="1">
      <alignment horizontal="left" vertical="top"/>
    </xf>
    <xf numFmtId="0" fontId="13" fillId="0" borderId="0" xfId="0" applyFont="1" applyAlignment="1">
      <alignment horizontal="left" vertical="top" wrapText="1"/>
    </xf>
    <xf numFmtId="0" fontId="29" fillId="0" borderId="0" xfId="0" applyFont="1" applyAlignment="1">
      <alignment horizontal="left" vertical="top"/>
    </xf>
    <xf numFmtId="0" fontId="30" fillId="0" borderId="0" xfId="0" applyFont="1" applyAlignment="1">
      <alignment horizontal="center"/>
    </xf>
    <xf numFmtId="0" fontId="29" fillId="0" borderId="0" xfId="0" applyFont="1" applyAlignment="1"/>
    <xf numFmtId="0" fontId="13" fillId="0" borderId="0" xfId="0" applyFont="1" applyAlignment="1">
      <alignment vertical="top" wrapText="1"/>
    </xf>
    <xf numFmtId="0" fontId="19" fillId="0" borderId="0" xfId="0" applyFont="1" applyAlignment="1">
      <alignment vertical="top" wrapText="1"/>
    </xf>
    <xf numFmtId="0" fontId="5" fillId="3" borderId="0" xfId="0" applyFont="1" applyFill="1" applyAlignment="1">
      <alignment vertical="top"/>
    </xf>
    <xf numFmtId="0" fontId="21" fillId="0" borderId="0" xfId="0" applyFont="1" applyAlignment="1">
      <alignment vertical="top" wrapText="1" shrinkToFit="1"/>
    </xf>
    <xf numFmtId="0" fontId="17" fillId="0" borderId="0" xfId="0" applyFont="1" applyFill="1" applyBorder="1" applyAlignment="1">
      <alignment horizontal="left" vertical="top" wrapText="1"/>
    </xf>
    <xf numFmtId="0" fontId="21" fillId="0" borderId="0" xfId="0" applyFont="1" applyAlignment="1">
      <alignment vertical="top" wrapText="1"/>
    </xf>
    <xf numFmtId="0" fontId="17" fillId="0" borderId="0" xfId="0" applyFont="1" applyAlignment="1">
      <alignment vertical="top" wrapText="1"/>
    </xf>
    <xf numFmtId="0" fontId="21" fillId="0" borderId="0" xfId="0" applyFont="1" applyFill="1" applyAlignment="1">
      <alignment vertical="top" wrapText="1"/>
    </xf>
    <xf numFmtId="0" fontId="5" fillId="0" borderId="0" xfId="0" applyFont="1" applyAlignment="1">
      <alignment horizontal="left" vertical="top" wrapText="1"/>
    </xf>
    <xf numFmtId="0" fontId="21" fillId="0" borderId="0" xfId="0" applyFont="1" applyAlignment="1">
      <alignment vertical="top"/>
    </xf>
    <xf numFmtId="0" fontId="9" fillId="3" borderId="0" xfId="1" applyFont="1" applyFill="1" applyAlignment="1" applyProtection="1">
      <alignment horizontal="center" vertical="top"/>
    </xf>
    <xf numFmtId="0" fontId="5" fillId="0" borderId="0" xfId="0" applyFont="1" applyBorder="1" applyAlignment="1">
      <alignment vertical="top"/>
    </xf>
    <xf numFmtId="0" fontId="5" fillId="0" borderId="0" xfId="0" applyFont="1" applyFill="1" applyAlignment="1">
      <alignment vertical="top"/>
    </xf>
    <xf numFmtId="0" fontId="5" fillId="3" borderId="0" xfId="0" applyNumberFormat="1" applyFont="1" applyFill="1"/>
    <xf numFmtId="0" fontId="7" fillId="3" borderId="0" xfId="0" applyFont="1" applyFill="1" applyAlignment="1">
      <alignment horizontal="center"/>
    </xf>
    <xf numFmtId="0" fontId="6" fillId="0" borderId="0" xfId="0" applyFont="1" applyFill="1" applyAlignment="1">
      <alignment horizontal="left"/>
    </xf>
    <xf numFmtId="0" fontId="2" fillId="0" borderId="0" xfId="0" applyFont="1" applyAlignment="1">
      <alignment horizontal="center"/>
    </xf>
    <xf numFmtId="0" fontId="11" fillId="0" borderId="0" xfId="0" applyFont="1" applyAlignment="1">
      <alignment horizontal="center"/>
    </xf>
    <xf numFmtId="0" fontId="11" fillId="0" borderId="0" xfId="0" applyNumberFormat="1" applyFont="1" applyAlignment="1">
      <alignment horizontal="center"/>
    </xf>
    <xf numFmtId="1" fontId="11" fillId="0" borderId="0" xfId="0" applyNumberFormat="1" applyFont="1" applyAlignment="1">
      <alignment horizontal="center"/>
    </xf>
    <xf numFmtId="164" fontId="11" fillId="0" borderId="0" xfId="0" applyNumberFormat="1" applyFont="1" applyAlignment="1">
      <alignment horizontal="center"/>
    </xf>
    <xf numFmtId="0" fontId="11" fillId="3" borderId="0" xfId="0" applyFont="1" applyFill="1" applyAlignment="1">
      <alignment horizontal="center"/>
    </xf>
    <xf numFmtId="0" fontId="11" fillId="0" borderId="0" xfId="0" applyFont="1" applyAlignment="1">
      <alignment horizontal="left"/>
    </xf>
    <xf numFmtId="0" fontId="5" fillId="0" borderId="0" xfId="0" applyFont="1" applyFill="1" applyAlignment="1">
      <alignment horizontal="left"/>
    </xf>
    <xf numFmtId="0" fontId="0" fillId="4" borderId="0" xfId="0" applyFill="1"/>
    <xf numFmtId="0" fontId="1" fillId="4" borderId="0" xfId="0" applyFont="1" applyFill="1"/>
    <xf numFmtId="0" fontId="5" fillId="0" borderId="0" xfId="0" applyNumberFormat="1" applyFont="1" applyAlignment="1">
      <alignment vertical="top" wrapText="1"/>
    </xf>
    <xf numFmtId="0" fontId="0" fillId="5" borderId="0" xfId="0" applyFill="1"/>
    <xf numFmtId="0" fontId="0" fillId="0" borderId="0" xfId="0" applyAlignment="1"/>
    <xf numFmtId="0" fontId="1" fillId="0" borderId="0" xfId="0" applyFont="1" applyFill="1" applyAlignment="1">
      <alignment horizontal="center"/>
    </xf>
    <xf numFmtId="0" fontId="2" fillId="0" borderId="0" xfId="2"/>
    <xf numFmtId="0" fontId="10" fillId="0" borderId="0" xfId="2" applyFont="1" applyFill="1"/>
    <xf numFmtId="0" fontId="2" fillId="0" borderId="0" xfId="2" applyFill="1"/>
    <xf numFmtId="0" fontId="1" fillId="0" borderId="0" xfId="2" applyFont="1" applyFill="1" applyAlignment="1">
      <alignment horizontal="center"/>
    </xf>
    <xf numFmtId="0" fontId="5" fillId="0" borderId="0" xfId="2" applyFont="1" applyFill="1" applyAlignment="1">
      <alignment vertical="top" wrapText="1"/>
    </xf>
    <xf numFmtId="0" fontId="5" fillId="0" borderId="0" xfId="2" applyFont="1" applyFill="1"/>
    <xf numFmtId="0" fontId="33" fillId="0" borderId="0" xfId="0" applyFont="1"/>
    <xf numFmtId="0" fontId="2" fillId="6" borderId="0" xfId="0" applyFont="1" applyFill="1" applyProtection="1">
      <protection hidden="1"/>
    </xf>
    <xf numFmtId="0" fontId="2" fillId="6" borderId="0" xfId="0" applyFont="1" applyFill="1" applyBorder="1" applyProtection="1">
      <protection hidden="1"/>
    </xf>
    <xf numFmtId="0" fontId="5" fillId="6" borderId="0" xfId="0" applyFont="1" applyFill="1" applyProtection="1">
      <protection hidden="1"/>
    </xf>
    <xf numFmtId="0" fontId="11" fillId="6" borderId="0" xfId="0" applyFont="1" applyFill="1" applyProtection="1">
      <protection hidden="1"/>
    </xf>
    <xf numFmtId="0" fontId="11" fillId="6" borderId="0" xfId="0" applyFont="1" applyFill="1" applyBorder="1" applyProtection="1">
      <protection hidden="1"/>
    </xf>
    <xf numFmtId="0" fontId="9" fillId="6" borderId="0" xfId="1" applyFont="1" applyFill="1" applyAlignment="1" applyProtection="1">
      <protection hidden="1"/>
    </xf>
    <xf numFmtId="0" fontId="5" fillId="6" borderId="0" xfId="0" applyFont="1" applyFill="1" applyProtection="1">
      <protection locked="0" hidden="1"/>
    </xf>
    <xf numFmtId="0" fontId="5" fillId="6" borderId="0" xfId="0" applyFont="1" applyFill="1" applyAlignment="1" applyProtection="1">
      <protection hidden="1"/>
    </xf>
    <xf numFmtId="14" fontId="5" fillId="6" borderId="0" xfId="0" applyNumberFormat="1" applyFont="1" applyFill="1" applyAlignment="1" applyProtection="1">
      <alignment horizontal="left"/>
      <protection hidden="1"/>
    </xf>
    <xf numFmtId="0" fontId="8" fillId="6" borderId="0" xfId="0" applyFont="1" applyFill="1" applyAlignment="1" applyProtection="1">
      <alignment horizontal="center"/>
      <protection hidden="1"/>
    </xf>
    <xf numFmtId="0" fontId="8" fillId="7" borderId="0" xfId="0" applyFont="1" applyFill="1" applyAlignment="1" applyProtection="1">
      <alignment horizontal="center"/>
      <protection hidden="1"/>
    </xf>
    <xf numFmtId="0" fontId="5" fillId="7" borderId="0" xfId="0" applyFont="1" applyFill="1" applyProtection="1">
      <protection hidden="1"/>
    </xf>
    <xf numFmtId="9" fontId="11" fillId="7" borderId="0" xfId="0" applyNumberFormat="1" applyFont="1" applyFill="1" applyProtection="1">
      <protection hidden="1"/>
    </xf>
    <xf numFmtId="0" fontId="5" fillId="7" borderId="0" xfId="0" applyFont="1" applyFill="1" applyAlignment="1" applyProtection="1">
      <protection hidden="1"/>
    </xf>
    <xf numFmtId="0" fontId="0" fillId="7" borderId="0" xfId="0" applyFill="1" applyAlignment="1"/>
    <xf numFmtId="0" fontId="11" fillId="7" borderId="0" xfId="0" applyFont="1" applyFill="1" applyBorder="1" applyProtection="1">
      <protection hidden="1"/>
    </xf>
    <xf numFmtId="0" fontId="32" fillId="7" borderId="0" xfId="0" applyFont="1" applyFill="1" applyAlignment="1" applyProtection="1">
      <alignment horizontal="center"/>
      <protection hidden="1"/>
    </xf>
    <xf numFmtId="0" fontId="8" fillId="8" borderId="0" xfId="0" applyFont="1" applyFill="1" applyAlignment="1" applyProtection="1">
      <alignment horizontal="center"/>
      <protection hidden="1"/>
    </xf>
    <xf numFmtId="0" fontId="11" fillId="8" borderId="0" xfId="0" applyFont="1" applyFill="1" applyBorder="1" applyProtection="1">
      <protection hidden="1"/>
    </xf>
    <xf numFmtId="0" fontId="5" fillId="8" borderId="0" xfId="0" applyFont="1" applyFill="1" applyProtection="1">
      <protection hidden="1"/>
    </xf>
    <xf numFmtId="0" fontId="11" fillId="8" borderId="0" xfId="0" applyFont="1" applyFill="1" applyProtection="1">
      <protection hidden="1"/>
    </xf>
    <xf numFmtId="0" fontId="34" fillId="8" borderId="0" xfId="0" applyFont="1" applyFill="1" applyProtection="1">
      <protection hidden="1"/>
    </xf>
    <xf numFmtId="0" fontId="35" fillId="8" borderId="0" xfId="0" applyFont="1" applyFill="1" applyAlignment="1" applyProtection="1">
      <alignment horizontal="center"/>
      <protection hidden="1"/>
    </xf>
    <xf numFmtId="0" fontId="10" fillId="6" borderId="0" xfId="0" applyFont="1" applyFill="1" applyProtection="1">
      <protection hidden="1"/>
    </xf>
    <xf numFmtId="4" fontId="36" fillId="8" borderId="0" xfId="0" applyNumberFormat="1" applyFont="1" applyFill="1" applyBorder="1" applyAlignment="1" applyProtection="1">
      <alignment horizontal="center"/>
      <protection hidden="1"/>
    </xf>
    <xf numFmtId="0" fontId="37" fillId="0" borderId="1" xfId="0" applyNumberFormat="1" applyFont="1" applyFill="1" applyBorder="1" applyAlignment="1" applyProtection="1">
      <alignment horizontal="center"/>
      <protection locked="0" hidden="1"/>
    </xf>
    <xf numFmtId="0" fontId="38" fillId="6" borderId="0" xfId="0" applyFont="1" applyFill="1" applyProtection="1">
      <protection hidden="1"/>
    </xf>
    <xf numFmtId="4" fontId="37" fillId="7" borderId="0" xfId="0" applyNumberFormat="1" applyFont="1" applyFill="1" applyBorder="1" applyAlignment="1" applyProtection="1">
      <alignment horizontal="center"/>
      <protection hidden="1"/>
    </xf>
    <xf numFmtId="0" fontId="36" fillId="8" borderId="0" xfId="0" applyFont="1" applyFill="1" applyBorder="1" applyAlignment="1" applyProtection="1">
      <alignment horizontal="center"/>
      <protection hidden="1"/>
    </xf>
    <xf numFmtId="0" fontId="37" fillId="0" borderId="2" xfId="0" applyNumberFormat="1" applyFont="1" applyFill="1" applyBorder="1" applyAlignment="1" applyProtection="1">
      <alignment horizontal="center"/>
      <protection locked="0" hidden="1"/>
    </xf>
    <xf numFmtId="0" fontId="37" fillId="7" borderId="0" xfId="0" applyFont="1" applyFill="1" applyBorder="1" applyAlignment="1" applyProtection="1">
      <alignment horizontal="center"/>
      <protection hidden="1"/>
    </xf>
    <xf numFmtId="0" fontId="37" fillId="0" borderId="4" xfId="0" applyNumberFormat="1" applyFont="1" applyFill="1" applyBorder="1" applyAlignment="1" applyProtection="1">
      <alignment horizontal="center"/>
      <protection locked="0" hidden="1"/>
    </xf>
    <xf numFmtId="0" fontId="37" fillId="0" borderId="2" xfId="0" applyFont="1" applyFill="1" applyBorder="1" applyAlignment="1" applyProtection="1">
      <alignment horizontal="center"/>
      <protection locked="0" hidden="1"/>
    </xf>
    <xf numFmtId="1" fontId="36" fillId="8" borderId="0" xfId="0" applyNumberFormat="1" applyFont="1" applyFill="1" applyBorder="1" applyAlignment="1" applyProtection="1">
      <alignment horizontal="center"/>
      <protection hidden="1"/>
    </xf>
    <xf numFmtId="1" fontId="37" fillId="7" borderId="0" xfId="0" applyNumberFormat="1" applyFont="1" applyFill="1" applyBorder="1" applyAlignment="1" applyProtection="1">
      <alignment horizontal="center"/>
      <protection hidden="1"/>
    </xf>
    <xf numFmtId="164" fontId="36" fillId="8" borderId="0" xfId="0" applyNumberFormat="1" applyFont="1" applyFill="1" applyBorder="1" applyAlignment="1" applyProtection="1">
      <alignment horizontal="center"/>
      <protection hidden="1"/>
    </xf>
    <xf numFmtId="164" fontId="37" fillId="0" borderId="2" xfId="0" applyNumberFormat="1" applyFont="1" applyFill="1" applyBorder="1" applyAlignment="1" applyProtection="1">
      <alignment horizontal="center"/>
      <protection locked="0" hidden="1"/>
    </xf>
    <xf numFmtId="164" fontId="37" fillId="7" borderId="0" xfId="0" applyNumberFormat="1" applyFont="1" applyFill="1" applyBorder="1" applyAlignment="1" applyProtection="1">
      <alignment horizontal="center"/>
      <protection hidden="1"/>
    </xf>
    <xf numFmtId="0" fontId="37" fillId="0" borderId="3" xfId="0" applyFont="1" applyFill="1" applyBorder="1" applyAlignment="1" applyProtection="1">
      <alignment horizontal="center"/>
      <protection locked="0" hidden="1"/>
    </xf>
    <xf numFmtId="0" fontId="36" fillId="8" borderId="0" xfId="0" applyFont="1" applyFill="1" applyAlignment="1" applyProtection="1">
      <alignment horizontal="center"/>
      <protection hidden="1"/>
    </xf>
    <xf numFmtId="0" fontId="38" fillId="8" borderId="0" xfId="0" applyFont="1" applyFill="1" applyProtection="1">
      <protection hidden="1"/>
    </xf>
    <xf numFmtId="0" fontId="37" fillId="7" borderId="0" xfId="0" applyFont="1" applyFill="1" applyAlignment="1" applyProtection="1">
      <alignment horizontal="center"/>
      <protection hidden="1"/>
    </xf>
    <xf numFmtId="0" fontId="38" fillId="7" borderId="0" xfId="0" applyFont="1" applyFill="1" applyProtection="1">
      <protection hidden="1"/>
    </xf>
    <xf numFmtId="3" fontId="36" fillId="8" borderId="0" xfId="0" applyNumberFormat="1" applyFont="1" applyFill="1" applyAlignment="1" applyProtection="1">
      <alignment horizontal="center"/>
      <protection hidden="1"/>
    </xf>
    <xf numFmtId="3" fontId="37" fillId="7" borderId="0" xfId="0" applyNumberFormat="1" applyFont="1" applyFill="1" applyAlignment="1" applyProtection="1">
      <alignment horizontal="center"/>
      <protection hidden="1"/>
    </xf>
    <xf numFmtId="9" fontId="39" fillId="8" borderId="0" xfId="0" applyNumberFormat="1" applyFont="1" applyFill="1" applyBorder="1" applyAlignment="1" applyProtection="1">
      <alignment horizontal="center"/>
      <protection hidden="1"/>
    </xf>
    <xf numFmtId="9" fontId="39" fillId="7" borderId="0" xfId="0" applyNumberFormat="1" applyFont="1" applyFill="1" applyBorder="1" applyAlignment="1" applyProtection="1">
      <alignment horizontal="center"/>
      <protection hidden="1"/>
    </xf>
    <xf numFmtId="2" fontId="36" fillId="8" borderId="0" xfId="0" applyNumberFormat="1" applyFont="1" applyFill="1" applyAlignment="1" applyProtection="1">
      <alignment horizontal="center"/>
      <protection hidden="1"/>
    </xf>
    <xf numFmtId="2" fontId="37" fillId="7" borderId="0" xfId="0" applyNumberFormat="1" applyFont="1" applyFill="1" applyAlignment="1" applyProtection="1">
      <alignment horizontal="center"/>
      <protection hidden="1"/>
    </xf>
    <xf numFmtId="0" fontId="37" fillId="0" borderId="1" xfId="0" applyFont="1" applyFill="1" applyBorder="1" applyAlignment="1" applyProtection="1">
      <alignment horizontal="center"/>
      <protection locked="0" hidden="1"/>
    </xf>
    <xf numFmtId="0" fontId="5" fillId="6" borderId="0" xfId="0" applyFont="1" applyFill="1" applyAlignment="1" applyProtection="1">
      <alignment horizontal="left"/>
      <protection hidden="1"/>
    </xf>
    <xf numFmtId="0" fontId="5" fillId="8" borderId="0" xfId="0" applyFont="1" applyFill="1" applyAlignment="1" applyProtection="1">
      <alignment horizontal="left"/>
      <protection hidden="1"/>
    </xf>
    <xf numFmtId="0" fontId="5" fillId="7" borderId="0" xfId="0" applyFont="1" applyFill="1" applyAlignment="1" applyProtection="1">
      <alignment horizontal="left"/>
      <protection hidden="1"/>
    </xf>
    <xf numFmtId="0" fontId="38" fillId="6" borderId="0" xfId="0" applyFont="1" applyFill="1" applyAlignment="1" applyProtection="1">
      <protection hidden="1"/>
    </xf>
    <xf numFmtId="14" fontId="38" fillId="6" borderId="0" xfId="0" applyNumberFormat="1" applyFont="1" applyFill="1" applyAlignment="1" applyProtection="1">
      <alignment horizontal="left"/>
      <protection hidden="1"/>
    </xf>
    <xf numFmtId="0" fontId="40" fillId="6" borderId="0" xfId="1" applyFont="1" applyFill="1" applyAlignment="1" applyProtection="1">
      <protection hidden="1"/>
    </xf>
    <xf numFmtId="0" fontId="43" fillId="0" borderId="0" xfId="0" applyFont="1"/>
    <xf numFmtId="2" fontId="43" fillId="0" borderId="0" xfId="0" applyNumberFormat="1" applyFont="1"/>
    <xf numFmtId="0" fontId="44" fillId="6" borderId="0" xfId="0" applyFont="1" applyFill="1" applyAlignment="1" applyProtection="1">
      <alignment vertical="top"/>
      <protection hidden="1"/>
    </xf>
    <xf numFmtId="0" fontId="41" fillId="0" borderId="5" xfId="0" applyFont="1" applyFill="1" applyBorder="1" applyAlignment="1" applyProtection="1">
      <alignment horizontal="center" vertical="center"/>
      <protection locked="0" hidden="1"/>
    </xf>
    <xf numFmtId="0" fontId="42" fillId="0" borderId="6" xfId="0" applyFont="1" applyFill="1" applyBorder="1" applyAlignment="1" applyProtection="1">
      <alignment horizontal="center" vertical="center"/>
      <protection locked="0" hidden="1"/>
    </xf>
    <xf numFmtId="0" fontId="42" fillId="0" borderId="7" xfId="0" applyFont="1" applyFill="1" applyBorder="1" applyAlignment="1" applyProtection="1">
      <alignment horizontal="center" vertical="center"/>
      <protection locked="0" hidden="1"/>
    </xf>
  </cellXfs>
  <cellStyles count="3">
    <cellStyle name="Hivatkozás" xfId="1" builtinId="8"/>
    <cellStyle name="Normál" xfId="0" builtinId="0"/>
    <cellStyle name="Normální 2" xfId="2"/>
  </cellStyles>
  <dxfs count="12">
    <dxf>
      <font>
        <color rgb="FFFF0000"/>
      </font>
    </dxf>
    <dxf>
      <font>
        <color rgb="FFFF0000"/>
      </font>
    </dxf>
    <dxf>
      <font>
        <color rgb="FFFF0000"/>
      </font>
    </dxf>
    <dxf>
      <font>
        <color rgb="FFFF0000"/>
      </font>
    </dxf>
    <dxf>
      <font>
        <color rgb="FFFF0000"/>
      </font>
    </dxf>
    <dxf>
      <font>
        <color rgb="FFFF0000"/>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7E1C3"/>
      <color rgb="FFD7E1D1"/>
      <color rgb="FFCDE4F6"/>
      <color rgb="FFE4E6F6"/>
      <color rgb="FFE1E1E1"/>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03" dropStyle="combo" dx="15" fmlaLink="BT10" fmlaRange="$M$17:$M$24" val="0"/>
</file>

<file path=xl/ctrlProps/ctrlProp2.xml><?xml version="1.0" encoding="utf-8"?>
<formControlPr xmlns="http://schemas.microsoft.com/office/spreadsheetml/2009/9/main" objectType="Drop" dropLines="103" dropStyle="combo" dx="15" fmlaLink="BI2" fmlaRange="$M$27:$M$56" sel="5" val="0"/>
</file>

<file path=xl/ctrlProps/ctrlProp3.xml><?xml version="1.0" encoding="utf-8"?>
<formControlPr xmlns="http://schemas.microsoft.com/office/spreadsheetml/2009/9/main" objectType="Drop" dropLines="103" dropStyle="combo" dx="15" fmlaLink="BM11" fmlaRange="$BH$2:$BH$25" val="0"/>
</file>

<file path=xl/ctrlProps/ctrlProp4.xml><?xml version="1.0" encoding="utf-8"?>
<formControlPr xmlns="http://schemas.microsoft.com/office/spreadsheetml/2009/9/main" objectType="Drop" dropLines="103" dropStyle="combo" dx="15" fmlaLink="BM111" fmlaRange="$BH$2:$BH$25" sel="17" val="0"/>
</file>

<file path=xl/ctrlProps/ctrlProp5.xml><?xml version="1.0" encoding="utf-8"?>
<formControlPr xmlns="http://schemas.microsoft.com/office/spreadsheetml/2009/9/main" objectType="Drop" dropLines="103" dropStyle="combo" dx="15" fmlaLink="$L$27" fmlaRange="$L$28:$L$49" sel="10" val="0"/>
</file>

<file path=xl/ctrlProps/ctrlProp6.xml><?xml version="1.0" encoding="utf-8"?>
<formControlPr xmlns="http://schemas.microsoft.com/office/spreadsheetml/2009/9/main" objectType="Drop" dropLines="81" dropStyle="combo" dx="15" fmlaLink="BM11" fmlaRange="$BH$2:$BH$25" val="0"/>
</file>

<file path=xl/ctrlProps/ctrlProp7.xml><?xml version="1.0" encoding="utf-8"?>
<formControlPr xmlns="http://schemas.microsoft.com/office/spreadsheetml/2009/9/main" objectType="Drop" dropLines="81" dropStyle="combo" dx="15" fmlaLink="BM11" fmlaRange="$BH$2:$BH$25" val="0"/>
</file>

<file path=xl/ctrlProps/ctrlProp8.xml><?xml version="1.0" encoding="utf-8"?>
<formControlPr xmlns="http://schemas.microsoft.com/office/spreadsheetml/2009/9/main" objectType="Drop" dropLines="81" dropStyle="combo" dx="15" fmlaLink="BM11" fmlaRange="$BH$2:$BH$25" val="0"/>
</file>

<file path=xl/ctrlProps/ctrlProp9.xml><?xml version="1.0" encoding="utf-8"?>
<formControlPr xmlns="http://schemas.microsoft.com/office/spreadsheetml/2009/9/main" objectType="Drop" dropLines="81" dropStyle="combo" dx="15" fmlaLink="BM11" fmlaRange="$BH$2:$BH$25" val="0"/>
</file>

<file path=xl/ctrlProps/ctrlProp10.xml><?xml version="1.0" encoding="utf-8"?>
<formControlPr xmlns="http://schemas.microsoft.com/office/spreadsheetml/2009/9/main" objectType="Drop" dropLines="81" dropStyle="combo" dx="15" fmlaLink="BM11" fmlaRange="$BH$2:$BH$25" val="0"/>
</file>

<file path=xl/ctrlProps/ctrlProp11.xml><?xml version="1.0" encoding="utf-8"?>
<formControlPr xmlns="http://schemas.microsoft.com/office/spreadsheetml/2009/9/main" objectType="Drop" dropLines="81" dropStyle="combo" dx="15" fmlaLink="BM11" fmlaRange="$BH$2:$BH$25" val="0"/>
</file>

<file path=xl/ctrlProps/ctrlProp12.xml><?xml version="1.0" encoding="utf-8"?>
<formControlPr xmlns="http://schemas.microsoft.com/office/spreadsheetml/2009/9/main" objectType="Drop" dropLines="81" dropStyle="combo" dx="15" fmlaLink="BM11" fmlaRange="$BH$2:$BH$25" val="0"/>
</file>

<file path=xl/ctrlProps/ctrlProp13.xml><?xml version="1.0" encoding="utf-8"?>
<formControlPr xmlns="http://schemas.microsoft.com/office/spreadsheetml/2009/9/main" objectType="Drop" dropLines="81" dropStyle="combo" dx="15" fmlaLink="BM11" fmlaRange="$BH$2:$BH$25" val="0"/>
</file>

<file path=xl/ctrlProps/ctrlProp14.xml><?xml version="1.0" encoding="utf-8"?>
<formControlPr xmlns="http://schemas.microsoft.com/office/spreadsheetml/2009/9/main" objectType="Drop" dropLines="81" dropStyle="combo" dx="15" fmlaLink="BM11" fmlaRange="$BH$2:$BH$25" val="0"/>
</file>

<file path=xl/ctrlProps/ctrlProp15.xml><?xml version="1.0" encoding="utf-8"?>
<formControlPr xmlns="http://schemas.microsoft.com/office/spreadsheetml/2009/9/main" objectType="Drop" dropLines="81" dropStyle="combo" dx="15" fmlaLink="BM11" fmlaRange="$BH$2:$BH$25" val="0"/>
</file>

<file path=xl/ctrlProps/ctrlProp16.xml><?xml version="1.0" encoding="utf-8"?>
<formControlPr xmlns="http://schemas.microsoft.com/office/spreadsheetml/2009/9/main" objectType="Drop" dropLines="81" dropStyle="combo" dx="15" fmlaLink="BM11" fmlaRange="$BH$2:$BH$25"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4</xdr:row>
          <xdr:rowOff>38100</xdr:rowOff>
        </xdr:from>
        <xdr:to>
          <xdr:col>4</xdr:col>
          <xdr:colOff>0</xdr:colOff>
          <xdr:row>5</xdr:row>
          <xdr:rowOff>53340</xdr:rowOff>
        </xdr:to>
        <xdr:sp macro="" textlink="">
          <xdr:nvSpPr>
            <xdr:cNvPr id="1027" name="Nedrullningsbar listruta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129540</xdr:rowOff>
        </xdr:from>
        <xdr:to>
          <xdr:col>4</xdr:col>
          <xdr:colOff>0</xdr:colOff>
          <xdr:row>7</xdr:row>
          <xdr:rowOff>129540</xdr:rowOff>
        </xdr:to>
        <xdr:sp macro="" textlink="">
          <xdr:nvSpPr>
            <xdr:cNvPr id="1028" name="Nedrullningsbar listruta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2" name="Nedrullningsbar listruta -1023" hidden="1">
              <a:extLst>
                <a:ext uri="{63B3BB69-23CF-44E3-9099-C40C66FF867C}">
                  <a14:compatExt spid="_x0000_s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xdr:row>
          <xdr:rowOff>22860</xdr:rowOff>
        </xdr:from>
        <xdr:to>
          <xdr:col>10</xdr:col>
          <xdr:colOff>0</xdr:colOff>
          <xdr:row>16</xdr:row>
          <xdr:rowOff>38100</xdr:rowOff>
        </xdr:to>
        <xdr:sp macro="" textlink="">
          <xdr:nvSpPr>
            <xdr:cNvPr id="1285" name="Nedrullningsbar listruta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1996440</xdr:colOff>
          <xdr:row>9</xdr:row>
          <xdr:rowOff>228600</xdr:rowOff>
        </xdr:from>
        <xdr:to>
          <xdr:col>10</xdr:col>
          <xdr:colOff>22860</xdr:colOff>
          <xdr:row>10</xdr:row>
          <xdr:rowOff>243840</xdr:rowOff>
        </xdr:to>
        <xdr:sp macro="" textlink="">
          <xdr:nvSpPr>
            <xdr:cNvPr id="1405" name="Nedrullningsbar listruta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xdr:twoCellAnchor editAs="oneCell">
    <xdr:from>
      <xdr:col>9</xdr:col>
      <xdr:colOff>1130300</xdr:colOff>
      <xdr:row>16</xdr:row>
      <xdr:rowOff>50799</xdr:rowOff>
    </xdr:from>
    <xdr:to>
      <xdr:col>9</xdr:col>
      <xdr:colOff>2692400</xdr:colOff>
      <xdr:row>34</xdr:row>
      <xdr:rowOff>69460</xdr:rowOff>
    </xdr:to>
    <xdr:pic>
      <xdr:nvPicPr>
        <xdr:cNvPr id="1571" name="Bildobjekt 10">
          <a:extLst>
            <a:ext uri="{FF2B5EF4-FFF2-40B4-BE49-F238E27FC236}">
              <a16:creationId xmlns:a16="http://schemas.microsoft.com/office/drawing/2014/main" xmlns="" id="{00000000-0008-0000-0000-0000230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4700" y="4114799"/>
          <a:ext cx="1562100" cy="4590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2628900</xdr:colOff>
      <xdr:row>1</xdr:row>
      <xdr:rowOff>101600</xdr:rowOff>
    </xdr:from>
    <xdr:to>
      <xdr:col>9</xdr:col>
      <xdr:colOff>3543300</xdr:colOff>
      <xdr:row>5</xdr:row>
      <xdr:rowOff>38440</xdr:rowOff>
    </xdr:to>
    <xdr:pic>
      <xdr:nvPicPr>
        <xdr:cNvPr id="1572" name="Picture 19">
          <a:extLst>
            <a:ext uri="{FF2B5EF4-FFF2-40B4-BE49-F238E27FC236}">
              <a16:creationId xmlns:a16="http://schemas.microsoft.com/office/drawing/2014/main" xmlns="" id="{00000000-0008-0000-0000-000024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93300" y="355600"/>
          <a:ext cx="914400" cy="952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1406" name="Nedrullningsbar listruta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1407" name="Nedrullningsbar listruta -102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1408" name="Drop Down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4</xdr:col>
          <xdr:colOff>15240</xdr:colOff>
          <xdr:row>16</xdr:row>
          <xdr:rowOff>22860</xdr:rowOff>
        </xdr:to>
        <xdr:sp macro="" textlink="">
          <xdr:nvSpPr>
            <xdr:cNvPr id="1409" name="Nedrullningsbar listruta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1410" name="Nedrullningsbar listruta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1411" name="Nedrullningsbar listruta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1412" name="Nedrullningsbar listruta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1413" name="Nedrullningsbar listruta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1414" name="Nedrullningsbar listruta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15240</xdr:rowOff>
        </xdr:from>
        <xdr:to>
          <xdr:col>2</xdr:col>
          <xdr:colOff>419100</xdr:colOff>
          <xdr:row>16</xdr:row>
          <xdr:rowOff>0</xdr:rowOff>
        </xdr:to>
        <xdr:sp macro="" textlink="">
          <xdr:nvSpPr>
            <xdr:cNvPr id="1415" name="Nedrullningsbar listruta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7620</xdr:rowOff>
        </xdr:from>
        <xdr:to>
          <xdr:col>2</xdr:col>
          <xdr:colOff>251460</xdr:colOff>
          <xdr:row>16</xdr:row>
          <xdr:rowOff>0</xdr:rowOff>
        </xdr:to>
        <xdr:sp macro="" textlink="">
          <xdr:nvSpPr>
            <xdr:cNvPr id="1416" name="Drop Down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hyperlink" Target="http://www.smicut.se/" TargetMode="Externa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info@smicut.s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1:IF312"/>
  <sheetViews>
    <sheetView showGridLines="0" showRowColHeaders="0" tabSelected="1" topLeftCell="A14" zoomScaleNormal="100" zoomScalePageLayoutView="125" workbookViewId="0">
      <selection activeCell="C14" sqref="C14"/>
    </sheetView>
  </sheetViews>
  <sheetFormatPr defaultColWidth="8.1796875" defaultRowHeight="16.05" customHeight="1"/>
  <cols>
    <col min="1" max="1" width="3.1796875" customWidth="1"/>
    <col min="2" max="2" width="46.81640625" customWidth="1"/>
    <col min="3" max="4" width="9" customWidth="1"/>
    <col min="5" max="5" width="3.36328125" customWidth="1"/>
    <col min="6" max="6" width="2.6328125" style="34" customWidth="1"/>
    <col min="7" max="8" width="9" style="34" customWidth="1"/>
    <col min="9" max="9" width="3.36328125" style="34" customWidth="1"/>
    <col min="10" max="10" width="46.81640625" style="34" customWidth="1"/>
    <col min="11" max="11" width="4.1796875" style="34" customWidth="1"/>
    <col min="12" max="12" width="11.81640625" hidden="1" customWidth="1"/>
    <col min="13" max="13" width="37.81640625" style="34" hidden="1" customWidth="1"/>
    <col min="14" max="14" width="37.81640625" hidden="1" customWidth="1"/>
    <col min="15" max="19" width="37.81640625" style="34" hidden="1" customWidth="1"/>
    <col min="20" max="20" width="37.81640625" hidden="1" customWidth="1"/>
    <col min="21" max="22" width="37.81640625" style="34" hidden="1" customWidth="1"/>
    <col min="23" max="23" width="37.81640625" hidden="1" customWidth="1"/>
    <col min="24" max="35" width="37.81640625" style="34" hidden="1" customWidth="1"/>
    <col min="36" max="36" width="10.6328125" hidden="1" customWidth="1"/>
    <col min="37" max="40" width="10.6328125" style="4" hidden="1" customWidth="1"/>
    <col min="41" max="41" width="23.453125" style="197" hidden="1" customWidth="1"/>
    <col min="42" max="42" width="8.1796875" style="198" hidden="1" customWidth="1"/>
    <col min="43" max="49" width="10.6328125" hidden="1" customWidth="1"/>
    <col min="50" max="50" width="10.6328125" style="60" hidden="1" customWidth="1"/>
    <col min="51" max="51" width="10.6328125" style="38" hidden="1" customWidth="1"/>
    <col min="52" max="55" width="10.6328125" style="25" hidden="1" customWidth="1"/>
    <col min="56" max="57" width="10.6328125" hidden="1" customWidth="1"/>
    <col min="58" max="58" width="23.453125" hidden="1" customWidth="1"/>
    <col min="59" max="59" width="10.6328125" hidden="1" customWidth="1"/>
    <col min="60" max="60" width="22" hidden="1" customWidth="1"/>
    <col min="61" max="71" width="10.6328125" hidden="1" customWidth="1"/>
    <col min="72" max="72" width="12.1796875" hidden="1" customWidth="1"/>
    <col min="73" max="75" width="10.6328125" hidden="1" customWidth="1"/>
    <col min="76" max="76" width="10.6328125" style="25" hidden="1" customWidth="1"/>
    <col min="77" max="79" width="10.6328125" hidden="1" customWidth="1"/>
    <col min="80" max="82" width="10.81640625" hidden="1" customWidth="1"/>
    <col min="83" max="84" width="35.453125" style="44" hidden="1" customWidth="1"/>
    <col min="85" max="85" width="31.36328125" style="44" hidden="1" customWidth="1"/>
    <col min="86" max="86" width="24.453125" style="44" hidden="1" customWidth="1"/>
    <col min="87" max="90" width="30.36328125" style="44" hidden="1" customWidth="1"/>
    <col min="91" max="94" width="31.36328125" style="44" hidden="1" customWidth="1"/>
    <col min="95" max="97" width="32.6328125" style="4" hidden="1" customWidth="1"/>
    <col min="98" max="100" width="31.36328125" style="44" hidden="1" customWidth="1"/>
    <col min="101" max="101" width="32" style="44" hidden="1" customWidth="1"/>
    <col min="102" max="102" width="31.36328125" style="127" hidden="1" customWidth="1"/>
    <col min="103" max="103" width="35.453125" style="44" hidden="1" customWidth="1"/>
    <col min="104" max="104" width="35.453125" style="127" hidden="1" customWidth="1"/>
    <col min="105" max="105" width="35.453125" style="44" hidden="1" customWidth="1"/>
    <col min="106" max="106" width="35.453125" style="127" hidden="1" customWidth="1"/>
    <col min="107" max="107" width="35.453125" style="44" hidden="1" customWidth="1"/>
    <col min="108" max="108" width="35.453125" style="127" hidden="1" customWidth="1"/>
    <col min="109" max="120" width="35.453125" style="44" hidden="1" customWidth="1"/>
    <col min="121" max="121" width="8.1796875" style="46" hidden="1" customWidth="1"/>
    <col min="122" max="122" width="15.1796875" hidden="1" customWidth="1"/>
    <col min="123" max="132" width="8.1796875" hidden="1" customWidth="1"/>
    <col min="133" max="133" width="8.1796875" style="25" hidden="1" customWidth="1"/>
    <col min="134" max="134" width="8.1796875" style="48" hidden="1" customWidth="1"/>
    <col min="135" max="135" width="11" style="25" hidden="1" customWidth="1"/>
    <col min="136" max="145" width="8.1796875" style="25" hidden="1" customWidth="1"/>
    <col min="146" max="146" width="8.1796875" hidden="1" customWidth="1"/>
    <col min="147" max="147" width="8.1796875" style="46" hidden="1" customWidth="1"/>
    <col min="148" max="148" width="11" hidden="1" customWidth="1"/>
    <col min="149" max="159" width="8.1796875" hidden="1" customWidth="1"/>
    <col min="160" max="160" width="8.1796875" style="46" hidden="1" customWidth="1"/>
    <col min="161" max="161" width="11.453125" style="121" hidden="1" customWidth="1"/>
    <col min="162" max="164" width="8.1796875" style="121" hidden="1" customWidth="1"/>
    <col min="165" max="165" width="8.1796875" style="46" hidden="1" customWidth="1"/>
    <col min="166" max="169" width="8.1796875" hidden="1" customWidth="1"/>
    <col min="170" max="170" width="8.1796875" style="22" hidden="1" customWidth="1"/>
    <col min="171" max="174" width="8.1796875" style="21" hidden="1" customWidth="1"/>
    <col min="175" max="175" width="8.1796875" style="22" hidden="1" customWidth="1"/>
    <col min="176" max="187" width="8.1796875" style="33" hidden="1" customWidth="1"/>
    <col min="188" max="188" width="8.1796875" style="22" hidden="1" customWidth="1"/>
    <col min="189" max="200" width="8.1796875" style="33" hidden="1" customWidth="1"/>
    <col min="201" max="201" width="8.1796875" style="22" hidden="1" customWidth="1"/>
    <col min="202" max="213" width="8.1796875" style="33" hidden="1" customWidth="1"/>
    <col min="214" max="214" width="8.1796875" style="22" hidden="1" customWidth="1"/>
    <col min="215" max="215" width="8.1796875" style="33" hidden="1" customWidth="1"/>
    <col min="216" max="216" width="8.1796875" style="22" hidden="1" customWidth="1"/>
    <col min="217" max="217" width="8.1796875" style="33" hidden="1" customWidth="1"/>
    <col min="218" max="218" width="8.1796875" style="22" hidden="1" customWidth="1"/>
    <col min="219" max="219" width="8.1796875" style="33" hidden="1" customWidth="1"/>
    <col min="220" max="220" width="8.1796875" style="22" hidden="1" customWidth="1"/>
    <col min="221" max="221" width="8.1796875" style="33" hidden="1" customWidth="1"/>
    <col min="222" max="222" width="8.1796875" style="22" hidden="1" customWidth="1"/>
    <col min="223" max="223" width="8.1796875" style="33" hidden="1" customWidth="1"/>
    <col min="224" max="224" width="8.1796875" style="22" hidden="1" customWidth="1"/>
    <col min="225" max="240" width="8.1796875" style="33" hidden="1" customWidth="1"/>
    <col min="241" max="241" width="0" style="33" hidden="1" customWidth="1"/>
    <col min="242" max="16384" width="8.1796875" style="33"/>
  </cols>
  <sheetData>
    <row r="1" spans="1:223" ht="19.95" customHeight="1">
      <c r="A1" s="141"/>
      <c r="B1" s="141"/>
      <c r="C1" s="141"/>
      <c r="D1" s="141"/>
      <c r="E1" s="142"/>
      <c r="F1" s="143"/>
      <c r="G1" s="143"/>
      <c r="H1" s="143"/>
      <c r="I1" s="143"/>
      <c r="J1" s="143"/>
      <c r="K1" s="143"/>
      <c r="N1" s="133" t="s">
        <v>1846</v>
      </c>
      <c r="O1" s="36" t="s">
        <v>644</v>
      </c>
      <c r="P1" s="36" t="s">
        <v>588</v>
      </c>
      <c r="Q1" s="36" t="s">
        <v>643</v>
      </c>
      <c r="R1" s="36" t="s">
        <v>589</v>
      </c>
      <c r="S1" s="36" t="s">
        <v>902</v>
      </c>
      <c r="T1" s="36" t="s">
        <v>1657</v>
      </c>
      <c r="U1" s="36" t="s">
        <v>654</v>
      </c>
      <c r="V1" s="36" t="s">
        <v>655</v>
      </c>
      <c r="W1" s="36" t="s">
        <v>1656</v>
      </c>
      <c r="X1" s="36" t="s">
        <v>652</v>
      </c>
      <c r="Y1" s="36" t="s">
        <v>656</v>
      </c>
      <c r="Z1" s="36" t="s">
        <v>657</v>
      </c>
      <c r="AA1" s="36" t="s">
        <v>653</v>
      </c>
      <c r="AB1" s="36" t="s">
        <v>1132</v>
      </c>
      <c r="AC1" s="36" t="s">
        <v>645</v>
      </c>
      <c r="AD1" s="36" t="s">
        <v>807</v>
      </c>
      <c r="AE1" s="36" t="s">
        <v>1344</v>
      </c>
      <c r="AF1" s="91" t="s">
        <v>1472</v>
      </c>
      <c r="AG1" s="36" t="s">
        <v>419</v>
      </c>
      <c r="AH1" s="102" t="s">
        <v>147</v>
      </c>
      <c r="AI1" s="36" t="s">
        <v>1591</v>
      </c>
      <c r="AK1" s="3" t="s">
        <v>677</v>
      </c>
      <c r="AL1" s="3" t="s">
        <v>534</v>
      </c>
      <c r="AM1" s="3" t="s">
        <v>839</v>
      </c>
      <c r="AN1" s="3" t="s">
        <v>908</v>
      </c>
      <c r="AO1" s="1" t="s">
        <v>803</v>
      </c>
      <c r="AP1" s="2" t="s">
        <v>1825</v>
      </c>
      <c r="AQ1" s="2" t="s">
        <v>804</v>
      </c>
      <c r="AR1" s="2" t="s">
        <v>805</v>
      </c>
      <c r="AS1" s="2" t="s">
        <v>806</v>
      </c>
      <c r="AT1" s="2" t="s">
        <v>861</v>
      </c>
      <c r="AU1" s="2" t="s">
        <v>862</v>
      </c>
      <c r="AV1" s="2" t="s">
        <v>863</v>
      </c>
      <c r="AW1" s="2" t="s">
        <v>934</v>
      </c>
      <c r="AX1" s="59" t="s">
        <v>864</v>
      </c>
      <c r="AY1" s="37" t="s">
        <v>934</v>
      </c>
      <c r="AZ1" s="36" t="s">
        <v>749</v>
      </c>
      <c r="BA1" s="36" t="s">
        <v>777</v>
      </c>
      <c r="BB1" s="36" t="s">
        <v>778</v>
      </c>
      <c r="BC1" s="36" t="s">
        <v>935</v>
      </c>
      <c r="BH1" s="36" t="s">
        <v>936</v>
      </c>
      <c r="FE1" s="120"/>
      <c r="FF1" s="120"/>
      <c r="FG1" s="120"/>
      <c r="FH1" s="120"/>
    </row>
    <row r="2" spans="1:223" ht="19.95" customHeight="1">
      <c r="A2" s="144"/>
      <c r="B2" s="199" t="str">
        <f>M91</f>
        <v>Menetmarás</v>
      </c>
      <c r="C2" s="199"/>
      <c r="D2" s="199"/>
      <c r="E2" s="145"/>
      <c r="F2" s="143"/>
      <c r="G2" s="143"/>
      <c r="H2" s="143"/>
      <c r="I2" s="143"/>
      <c r="J2" s="196" t="s">
        <v>796</v>
      </c>
      <c r="K2" s="146"/>
      <c r="N2" s="9">
        <v>1</v>
      </c>
      <c r="O2" s="9">
        <v>2</v>
      </c>
      <c r="P2" s="9">
        <v>3</v>
      </c>
      <c r="Q2" s="9">
        <v>4</v>
      </c>
      <c r="R2" s="9">
        <v>5</v>
      </c>
      <c r="S2" s="9">
        <v>6</v>
      </c>
      <c r="T2" s="9">
        <v>7</v>
      </c>
      <c r="U2" s="9">
        <v>8</v>
      </c>
      <c r="V2" s="9">
        <v>9</v>
      </c>
      <c r="W2" s="9">
        <v>10</v>
      </c>
      <c r="X2" s="9">
        <v>11</v>
      </c>
      <c r="Y2" s="9">
        <v>12</v>
      </c>
      <c r="Z2" s="9">
        <v>13</v>
      </c>
      <c r="AA2" s="9">
        <v>14</v>
      </c>
      <c r="AB2" s="9">
        <v>15</v>
      </c>
      <c r="AC2" s="9">
        <v>16</v>
      </c>
      <c r="AD2" s="9">
        <v>17</v>
      </c>
      <c r="AE2" s="9">
        <v>18</v>
      </c>
      <c r="AF2" s="9">
        <v>19</v>
      </c>
      <c r="AG2" s="9">
        <v>20</v>
      </c>
      <c r="AH2" s="9">
        <v>21</v>
      </c>
      <c r="AI2" s="9">
        <v>22</v>
      </c>
      <c r="AK2" s="4">
        <v>1</v>
      </c>
      <c r="AL2" s="4">
        <v>7</v>
      </c>
      <c r="AM2" s="4">
        <v>1</v>
      </c>
      <c r="AN2" s="4">
        <v>3</v>
      </c>
      <c r="AO2" s="197" t="s">
        <v>2103</v>
      </c>
      <c r="AP2" s="198">
        <v>469.9</v>
      </c>
      <c r="AQ2">
        <v>16</v>
      </c>
      <c r="AR2">
        <v>16</v>
      </c>
      <c r="AS2">
        <v>4</v>
      </c>
      <c r="AT2">
        <v>11</v>
      </c>
      <c r="AU2">
        <v>40.409999999999997</v>
      </c>
      <c r="AV2">
        <v>100</v>
      </c>
      <c r="AW2">
        <v>20.5</v>
      </c>
      <c r="AY2" s="38" t="b">
        <f t="shared" ref="AY2:AY65" si="0">IF(C$10&gt;=AW2,AK2)</f>
        <v>0</v>
      </c>
      <c r="AZ2" s="25" t="b">
        <f t="shared" ref="AZ2:AZ65" si="1">IF(C$11=AT2,AK2)</f>
        <v>0</v>
      </c>
      <c r="BA2" s="25">
        <f t="shared" ref="BA2:BA65" si="2">IF(C$12&lt;=AU2,AK2)</f>
        <v>1</v>
      </c>
      <c r="BB2" s="25" t="b">
        <f t="shared" ref="BB2:BB65" si="3">IF(AN2=BT$10,AK2)</f>
        <v>0</v>
      </c>
      <c r="BC2" s="25" t="b">
        <f t="shared" ref="BC2:BC65" si="4">IF(AY2=FALSE,FALSE,IF(AZ2=FALSE,FALSE,IF(BA2=FALSE,FALSE,IF(BB2=FALSE,FALSE,AK2))))</f>
        <v>0</v>
      </c>
      <c r="BD2">
        <f>LOOKUP(9999,BC$2:BC$312)</f>
        <v>201</v>
      </c>
      <c r="BE2" s="24">
        <f>BD2-1</f>
        <v>200</v>
      </c>
      <c r="BF2" t="str">
        <f t="shared" ref="BF2:BF25" si="5">LOOKUP(BD2,AK$2:AK$312,AO$2:AO$312)</f>
        <v>NB1010C31_2.0ISO_AC</v>
      </c>
      <c r="BG2" t="b">
        <f>ISNA(BF2)</f>
        <v>0</v>
      </c>
      <c r="BH2" t="str">
        <f>IF(BG2=FALSE,BF2,"")</f>
        <v>NB1010C31_2.0ISO_AC</v>
      </c>
      <c r="BI2" s="61">
        <v>5</v>
      </c>
      <c r="BJ2" s="7" t="s">
        <v>629</v>
      </c>
      <c r="BK2" s="7" t="s">
        <v>630</v>
      </c>
      <c r="BL2" s="9"/>
      <c r="BM2" s="7" t="s">
        <v>629</v>
      </c>
      <c r="BN2" s="7" t="s">
        <v>630</v>
      </c>
      <c r="BO2" s="7" t="s">
        <v>1827</v>
      </c>
      <c r="BP2" s="13" t="s">
        <v>805</v>
      </c>
      <c r="BQ2" s="13" t="s">
        <v>743</v>
      </c>
      <c r="FE2" s="120"/>
      <c r="FF2" s="120"/>
      <c r="FG2" s="120"/>
      <c r="FH2" s="120"/>
    </row>
    <row r="3" spans="1:223" ht="19.95" customHeight="1">
      <c r="A3" s="144"/>
      <c r="B3" s="199"/>
      <c r="C3" s="199"/>
      <c r="D3" s="199"/>
      <c r="E3" s="145"/>
      <c r="F3" s="143"/>
      <c r="G3" s="143"/>
      <c r="H3" s="143"/>
      <c r="I3" s="143"/>
      <c r="J3" s="196" t="s">
        <v>797</v>
      </c>
      <c r="K3" s="146"/>
      <c r="M3" s="5" t="str">
        <f>LOOKUP(L$27,N$2:AI$2,N3:AI3)</f>
        <v>Belső menetmarás megmunkáló központon</v>
      </c>
      <c r="N3" s="34" t="s">
        <v>1847</v>
      </c>
      <c r="O3" s="65" t="s">
        <v>1089</v>
      </c>
      <c r="P3" s="34" t="s">
        <v>872</v>
      </c>
      <c r="Q3" s="34" t="s">
        <v>1162</v>
      </c>
      <c r="R3" s="34" t="s">
        <v>731</v>
      </c>
      <c r="S3" s="34" t="s">
        <v>889</v>
      </c>
      <c r="T3" t="s">
        <v>1658</v>
      </c>
      <c r="U3" s="34" t="s">
        <v>386</v>
      </c>
      <c r="V3" s="34" t="s">
        <v>1133</v>
      </c>
      <c r="W3" t="s">
        <v>1720</v>
      </c>
      <c r="X3" s="34" t="s">
        <v>1210</v>
      </c>
      <c r="Y3" s="34" t="s">
        <v>1339</v>
      </c>
      <c r="Z3" s="34" t="s">
        <v>337</v>
      </c>
      <c r="AA3" s="34" t="s">
        <v>1454</v>
      </c>
      <c r="AB3" s="34" t="s">
        <v>577</v>
      </c>
      <c r="AC3" s="34" t="s">
        <v>422</v>
      </c>
      <c r="AD3" s="34" t="s">
        <v>840</v>
      </c>
      <c r="AE3" s="76" t="s">
        <v>1437</v>
      </c>
      <c r="AF3" s="90" t="s">
        <v>1554</v>
      </c>
      <c r="AG3" s="81" t="s">
        <v>449</v>
      </c>
      <c r="AH3" s="94" t="s">
        <v>176</v>
      </c>
      <c r="AI3" s="87" t="s">
        <v>259</v>
      </c>
      <c r="AK3" s="4">
        <v>2</v>
      </c>
      <c r="AL3" s="4">
        <v>7</v>
      </c>
      <c r="AM3" s="4">
        <v>1</v>
      </c>
      <c r="AN3" s="4">
        <v>3</v>
      </c>
      <c r="AO3" s="197" t="s">
        <v>2104</v>
      </c>
      <c r="AP3" s="198">
        <v>359.5</v>
      </c>
      <c r="AQ3">
        <v>12</v>
      </c>
      <c r="AR3">
        <v>12</v>
      </c>
      <c r="AS3">
        <v>4</v>
      </c>
      <c r="AT3">
        <v>14</v>
      </c>
      <c r="AU3">
        <v>28.12</v>
      </c>
      <c r="AV3">
        <v>100</v>
      </c>
      <c r="AW3">
        <v>15.5</v>
      </c>
      <c r="AY3" s="38">
        <f t="shared" si="0"/>
        <v>2</v>
      </c>
      <c r="AZ3" s="25" t="b">
        <f t="shared" si="1"/>
        <v>0</v>
      </c>
      <c r="BA3" s="25">
        <f t="shared" si="2"/>
        <v>2</v>
      </c>
      <c r="BB3" s="25" t="b">
        <f t="shared" si="3"/>
        <v>0</v>
      </c>
      <c r="BC3" s="25" t="b">
        <f t="shared" si="4"/>
        <v>0</v>
      </c>
      <c r="BD3">
        <f t="shared" ref="BD3:BD21" si="6">LOOKUP(BE2,BC$2:BC$312)</f>
        <v>199</v>
      </c>
      <c r="BE3" s="24">
        <f>BD3-1</f>
        <v>198</v>
      </c>
      <c r="BF3" t="str">
        <f t="shared" si="5"/>
        <v>NB1010C37_2.0ISO_AC</v>
      </c>
      <c r="BG3" t="b">
        <f t="shared" ref="BG3:BG21" si="7">ISNA(BF3)</f>
        <v>0</v>
      </c>
      <c r="BH3" t="str">
        <f>IF(BG3=FALSE,BF3,"")</f>
        <v>NB1010C37_2.0ISO_AC</v>
      </c>
      <c r="BI3" s="25">
        <v>1</v>
      </c>
      <c r="BJ3" s="6">
        <v>158</v>
      </c>
      <c r="BK3" s="8">
        <v>1.2</v>
      </c>
      <c r="BL3" s="9"/>
      <c r="BM3" s="21">
        <f>LOOKUP(BI2,BI3:BI32,BJ3:BJ32)</f>
        <v>83</v>
      </c>
      <c r="BN3" s="22">
        <f>LOOKUP(BI2,BI3:BI32,BK3:BK32)</f>
        <v>0.9</v>
      </c>
      <c r="BO3" s="20">
        <f>IF(D19&gt;0,D19,C19)</f>
        <v>255</v>
      </c>
      <c r="BP3" s="14">
        <v>1</v>
      </c>
      <c r="BQ3" s="11">
        <v>0.01</v>
      </c>
      <c r="BS3" s="7"/>
      <c r="BT3" s="18">
        <f>C11</f>
        <v>2</v>
      </c>
      <c r="DQ3" s="49"/>
      <c r="DT3" s="39"/>
      <c r="DU3" s="39"/>
      <c r="DV3" s="39"/>
      <c r="DW3" s="39"/>
      <c r="DX3" s="18"/>
      <c r="DY3" s="18"/>
      <c r="DZ3" s="18"/>
      <c r="EA3" s="18"/>
      <c r="EB3" s="18"/>
      <c r="FE3" s="120"/>
      <c r="FF3" s="120"/>
      <c r="FG3" s="120"/>
      <c r="FH3" s="120"/>
    </row>
    <row r="4" spans="1:223" ht="19.95" customHeight="1">
      <c r="A4" s="144"/>
      <c r="B4" s="144"/>
      <c r="C4" s="144"/>
      <c r="D4" s="144"/>
      <c r="E4" s="144"/>
      <c r="F4" s="143"/>
      <c r="G4" s="143"/>
      <c r="H4" s="143"/>
      <c r="I4" s="143"/>
      <c r="J4" s="167" t="s">
        <v>587</v>
      </c>
      <c r="K4" s="143"/>
      <c r="M4" s="5" t="str">
        <f t="shared" ref="M4:M66" si="8">LOOKUP(L$27,N$2:AI$2,N4:AI4)</f>
        <v>Belső menetmarás forgószerszámos esztergán</v>
      </c>
      <c r="N4" s="34" t="s">
        <v>1848</v>
      </c>
      <c r="O4" s="65" t="s">
        <v>1090</v>
      </c>
      <c r="P4" s="34" t="s">
        <v>871</v>
      </c>
      <c r="Q4" s="34" t="s">
        <v>1163</v>
      </c>
      <c r="R4" s="34" t="s">
        <v>617</v>
      </c>
      <c r="S4" s="34" t="s">
        <v>888</v>
      </c>
      <c r="T4" t="s">
        <v>1659</v>
      </c>
      <c r="U4" s="34" t="s">
        <v>387</v>
      </c>
      <c r="V4" s="34" t="s">
        <v>1134</v>
      </c>
      <c r="W4" t="s">
        <v>1721</v>
      </c>
      <c r="X4" s="34" t="s">
        <v>51</v>
      </c>
      <c r="Y4" s="34" t="s">
        <v>1340</v>
      </c>
      <c r="Z4" s="34" t="s">
        <v>338</v>
      </c>
      <c r="AA4" s="34" t="s">
        <v>1455</v>
      </c>
      <c r="AB4" s="34" t="s">
        <v>578</v>
      </c>
      <c r="AC4" s="34" t="s">
        <v>423</v>
      </c>
      <c r="AD4" s="34" t="s">
        <v>833</v>
      </c>
      <c r="AE4" s="76" t="s">
        <v>1438</v>
      </c>
      <c r="AF4" s="90" t="s">
        <v>1562</v>
      </c>
      <c r="AG4" s="81" t="s">
        <v>383</v>
      </c>
      <c r="AH4" s="94" t="s">
        <v>177</v>
      </c>
      <c r="AI4" s="87" t="s">
        <v>260</v>
      </c>
      <c r="AK4" s="4">
        <v>3</v>
      </c>
      <c r="AL4" s="4">
        <v>7</v>
      </c>
      <c r="AM4" s="4">
        <v>1</v>
      </c>
      <c r="AN4" s="4">
        <v>3</v>
      </c>
      <c r="AO4" s="197" t="s">
        <v>2105</v>
      </c>
      <c r="AP4" s="198">
        <v>278.3</v>
      </c>
      <c r="AQ4">
        <v>10</v>
      </c>
      <c r="AR4">
        <v>10</v>
      </c>
      <c r="AS4">
        <v>4</v>
      </c>
      <c r="AT4">
        <v>19</v>
      </c>
      <c r="AU4">
        <v>22.06</v>
      </c>
      <c r="AV4">
        <v>100</v>
      </c>
      <c r="AW4">
        <v>12.7</v>
      </c>
      <c r="AY4" s="38">
        <f t="shared" si="0"/>
        <v>3</v>
      </c>
      <c r="AZ4" s="25" t="b">
        <f t="shared" si="1"/>
        <v>0</v>
      </c>
      <c r="BA4" s="25" t="b">
        <f t="shared" si="2"/>
        <v>0</v>
      </c>
      <c r="BB4" s="25" t="b">
        <f t="shared" si="3"/>
        <v>0</v>
      </c>
      <c r="BC4" s="25" t="b">
        <f t="shared" si="4"/>
        <v>0</v>
      </c>
      <c r="BD4">
        <f t="shared" si="6"/>
        <v>184</v>
      </c>
      <c r="BE4" s="24">
        <f t="shared" ref="BE4:BE21" si="9">BD4-1</f>
        <v>183</v>
      </c>
      <c r="BF4" t="str">
        <f t="shared" si="5"/>
        <v>NB1212C51_2.0ISO_AC</v>
      </c>
      <c r="BG4" t="b">
        <f t="shared" si="7"/>
        <v>0</v>
      </c>
      <c r="BH4" t="str">
        <f t="shared" ref="BH4:BH16" si="10">IF(BG4=FALSE,BF4,"")</f>
        <v>NB1212C51_2.0ISO_AC</v>
      </c>
      <c r="BI4" s="25">
        <v>2</v>
      </c>
      <c r="BJ4" s="6">
        <v>133</v>
      </c>
      <c r="BK4" s="8">
        <v>1.1000000000000001</v>
      </c>
      <c r="BL4" s="9"/>
      <c r="BM4" s="9"/>
      <c r="BN4" s="9"/>
      <c r="BO4" s="7" t="s">
        <v>1826</v>
      </c>
      <c r="BP4" s="14">
        <v>2.2000000000000002</v>
      </c>
      <c r="BQ4" s="11">
        <f>BQ3*1.1</f>
        <v>1.1000000000000001E-2</v>
      </c>
      <c r="BS4" s="7"/>
      <c r="BT4" s="11">
        <f>25.4/C11</f>
        <v>12.7</v>
      </c>
      <c r="BW4" s="7" t="s">
        <v>862</v>
      </c>
      <c r="BX4" s="25">
        <f>(IF(D22&gt;0,D22,C22))+0.001</f>
        <v>31.001000000000001</v>
      </c>
      <c r="DQ4" s="49"/>
      <c r="DR4" s="18"/>
      <c r="DS4" s="18"/>
      <c r="DT4" s="39"/>
      <c r="DU4" s="39"/>
      <c r="DV4" s="39"/>
      <c r="DW4" s="39"/>
      <c r="DX4" s="18"/>
      <c r="DY4" s="18"/>
      <c r="DZ4" s="18"/>
      <c r="EA4" s="18"/>
      <c r="EB4" s="18"/>
      <c r="FE4" s="120"/>
      <c r="FF4" s="120"/>
      <c r="FG4" s="120"/>
      <c r="FH4" s="120"/>
    </row>
    <row r="5" spans="1:223" ht="19.95" customHeight="1">
      <c r="A5" s="144"/>
      <c r="B5" s="144"/>
      <c r="C5" s="144"/>
      <c r="D5" s="144"/>
      <c r="E5" s="144"/>
      <c r="F5" s="143"/>
      <c r="G5" s="143"/>
      <c r="H5" s="143"/>
      <c r="I5" s="143"/>
      <c r="J5" s="167" t="s">
        <v>865</v>
      </c>
      <c r="K5" s="143"/>
      <c r="M5" s="5"/>
      <c r="N5" s="34"/>
      <c r="O5" s="65"/>
      <c r="P5" s="34" t="s">
        <v>870</v>
      </c>
      <c r="AA5" s="34" t="s">
        <v>1456</v>
      </c>
      <c r="AE5" s="76"/>
      <c r="AH5" s="95"/>
      <c r="AK5" s="4">
        <v>4</v>
      </c>
      <c r="AL5" s="4">
        <v>7</v>
      </c>
      <c r="AM5" s="4">
        <v>1</v>
      </c>
      <c r="AN5" s="4">
        <v>3</v>
      </c>
      <c r="AO5" s="197" t="s">
        <v>2106</v>
      </c>
      <c r="AP5" s="198">
        <v>172.9</v>
      </c>
      <c r="AQ5">
        <v>6</v>
      </c>
      <c r="AR5">
        <v>6</v>
      </c>
      <c r="AS5">
        <v>3</v>
      </c>
      <c r="AT5">
        <v>28</v>
      </c>
      <c r="AU5">
        <v>10.43</v>
      </c>
      <c r="AV5">
        <v>76</v>
      </c>
      <c r="AW5">
        <v>7.8</v>
      </c>
      <c r="AY5" s="38">
        <f t="shared" si="0"/>
        <v>4</v>
      </c>
      <c r="AZ5" s="25" t="b">
        <f t="shared" si="1"/>
        <v>0</v>
      </c>
      <c r="BA5" s="25" t="b">
        <f t="shared" si="2"/>
        <v>0</v>
      </c>
      <c r="BB5" s="25" t="b">
        <f t="shared" si="3"/>
        <v>0</v>
      </c>
      <c r="BC5" s="25" t="b">
        <f t="shared" si="4"/>
        <v>0</v>
      </c>
      <c r="BD5">
        <f t="shared" si="6"/>
        <v>180</v>
      </c>
      <c r="BE5" s="24">
        <f t="shared" si="9"/>
        <v>179</v>
      </c>
      <c r="BF5" t="str">
        <f t="shared" si="5"/>
        <v>NB1212D27_2.0ISO_AC</v>
      </c>
      <c r="BG5" t="b">
        <f t="shared" si="7"/>
        <v>0</v>
      </c>
      <c r="BH5" t="str">
        <f t="shared" si="10"/>
        <v>NB1212D27_2.0ISO_AC</v>
      </c>
      <c r="BI5" s="25">
        <v>3</v>
      </c>
      <c r="BJ5" s="6">
        <v>118</v>
      </c>
      <c r="BK5" s="8">
        <v>1</v>
      </c>
      <c r="BL5" s="9"/>
      <c r="BM5" s="20">
        <f>IF(D24&gt;0,D24,C24)</f>
        <v>83</v>
      </c>
      <c r="BN5" s="9"/>
      <c r="BO5" s="20">
        <f>IF(D20&gt;0,D20,C20)</f>
        <v>120</v>
      </c>
      <c r="BP5" s="14">
        <f t="shared" ref="BP5:BP32" si="11">BP4*1.11</f>
        <v>2.4420000000000006</v>
      </c>
      <c r="BQ5" s="11">
        <f t="shared" ref="BQ5:BQ32" si="12">BQ4*1.1</f>
        <v>1.2100000000000001E-2</v>
      </c>
      <c r="BS5" s="7"/>
      <c r="BT5" s="11">
        <f>IF(BT10=1,BT3,BT4)</f>
        <v>2</v>
      </c>
      <c r="BW5" s="7" t="s">
        <v>673</v>
      </c>
      <c r="BX5" s="25">
        <f>BX4/BT6</f>
        <v>15.500500000000001</v>
      </c>
      <c r="CA5" s="39" t="s">
        <v>553</v>
      </c>
      <c r="CB5" s="61">
        <v>1</v>
      </c>
      <c r="CF5" s="9">
        <v>0</v>
      </c>
      <c r="CG5" s="9">
        <v>11</v>
      </c>
      <c r="CH5" s="9">
        <v>12</v>
      </c>
      <c r="CI5" s="9">
        <v>21</v>
      </c>
      <c r="CJ5" s="9">
        <v>22</v>
      </c>
      <c r="CK5" s="9">
        <v>31</v>
      </c>
      <c r="CL5" s="9">
        <v>32</v>
      </c>
      <c r="CM5" s="9">
        <v>111</v>
      </c>
      <c r="CN5" s="9">
        <v>112</v>
      </c>
      <c r="CO5" s="9">
        <v>121</v>
      </c>
      <c r="CP5" s="9">
        <v>122</v>
      </c>
      <c r="CQ5" s="9">
        <v>131</v>
      </c>
      <c r="CR5" s="9">
        <v>132</v>
      </c>
      <c r="CS5" s="9">
        <v>1011</v>
      </c>
      <c r="CT5" s="9">
        <v>1012</v>
      </c>
      <c r="CU5" s="9">
        <v>1021</v>
      </c>
      <c r="CV5" s="9">
        <v>1022</v>
      </c>
      <c r="CW5" s="9">
        <v>1031</v>
      </c>
      <c r="CX5" s="13">
        <v>1032</v>
      </c>
      <c r="CY5" s="9">
        <v>10011</v>
      </c>
      <c r="CZ5" s="13">
        <v>10012</v>
      </c>
      <c r="DA5" s="9">
        <v>10021</v>
      </c>
      <c r="DB5" s="13">
        <v>10022</v>
      </c>
      <c r="DC5" s="9">
        <v>10031</v>
      </c>
      <c r="DD5" s="13">
        <v>10032</v>
      </c>
      <c r="DE5" s="9">
        <v>1000011</v>
      </c>
      <c r="DF5" s="9">
        <v>1000021</v>
      </c>
      <c r="DG5" s="9">
        <v>1000031</v>
      </c>
      <c r="DH5" s="9">
        <v>1000111</v>
      </c>
      <c r="DI5" s="9">
        <v>1000121</v>
      </c>
      <c r="DJ5" s="9">
        <v>1000131</v>
      </c>
      <c r="DK5" s="9">
        <v>1001011</v>
      </c>
      <c r="DL5" s="9">
        <v>1001021</v>
      </c>
      <c r="DM5" s="9">
        <v>1001031</v>
      </c>
      <c r="DN5" s="9">
        <v>1010011</v>
      </c>
      <c r="DO5" s="9">
        <v>1010021</v>
      </c>
      <c r="DP5" s="9">
        <v>1010031</v>
      </c>
      <c r="DQ5" s="49"/>
      <c r="DR5" s="41" t="s">
        <v>1000</v>
      </c>
      <c r="DS5" s="39"/>
      <c r="DT5" s="39"/>
      <c r="DU5" s="39"/>
      <c r="DV5" s="39"/>
      <c r="DW5" s="39"/>
      <c r="DX5" s="18"/>
      <c r="DY5" s="18"/>
      <c r="DZ5" s="18"/>
      <c r="EA5" s="18"/>
      <c r="EB5" s="18"/>
      <c r="ED5" s="49"/>
      <c r="EE5" s="41" t="s">
        <v>926</v>
      </c>
      <c r="EF5" s="39"/>
      <c r="EG5" s="39"/>
      <c r="EH5" s="39"/>
      <c r="EI5" s="39"/>
      <c r="EJ5" s="39"/>
      <c r="EK5" s="18"/>
      <c r="EL5" s="18"/>
      <c r="EM5" s="18"/>
      <c r="EN5" s="18"/>
      <c r="EO5" s="18"/>
      <c r="EP5" s="25"/>
      <c r="EQ5" s="49"/>
      <c r="ER5" s="41" t="s">
        <v>688</v>
      </c>
      <c r="ES5" s="39"/>
      <c r="ET5" s="39"/>
      <c r="EU5" s="39"/>
      <c r="EV5" s="39"/>
      <c r="EW5" s="39"/>
      <c r="EX5" s="18"/>
      <c r="EY5" s="18"/>
      <c r="EZ5" s="18"/>
      <c r="FA5" s="18"/>
      <c r="FB5" s="18"/>
      <c r="FC5" s="25"/>
      <c r="FE5" s="119" t="s">
        <v>767</v>
      </c>
      <c r="FJ5" s="41" t="s">
        <v>696</v>
      </c>
      <c r="FO5" s="41" t="s">
        <v>942</v>
      </c>
      <c r="FT5" s="41" t="s">
        <v>754</v>
      </c>
      <c r="GG5" s="41" t="s">
        <v>664</v>
      </c>
      <c r="GT5" s="41" t="s">
        <v>860</v>
      </c>
      <c r="HG5" s="41">
        <v>1000011</v>
      </c>
      <c r="HI5" s="41">
        <v>1000021</v>
      </c>
      <c r="HK5" s="41">
        <v>1000031</v>
      </c>
      <c r="HM5" s="41">
        <v>1010011</v>
      </c>
      <c r="HO5" s="41">
        <v>1010021</v>
      </c>
    </row>
    <row r="6" spans="1:223" ht="19.95" customHeight="1">
      <c r="A6" s="144"/>
      <c r="B6" s="144"/>
      <c r="C6" s="144"/>
      <c r="D6" s="144"/>
      <c r="E6" s="144"/>
      <c r="F6" s="143"/>
      <c r="G6" s="143"/>
      <c r="H6" s="143"/>
      <c r="I6" s="143"/>
      <c r="J6" s="143"/>
      <c r="K6" s="143"/>
      <c r="M6" s="5"/>
      <c r="N6" s="34"/>
      <c r="O6" s="65"/>
      <c r="AE6" s="76"/>
      <c r="AH6" s="95"/>
      <c r="AK6" s="4">
        <v>5</v>
      </c>
      <c r="AL6" s="4">
        <v>1</v>
      </c>
      <c r="AM6" s="4">
        <v>1</v>
      </c>
      <c r="AN6" s="4">
        <v>3</v>
      </c>
      <c r="AO6" s="197" t="s">
        <v>2107</v>
      </c>
      <c r="AP6" s="198">
        <v>501</v>
      </c>
      <c r="AQ6">
        <v>20</v>
      </c>
      <c r="AR6">
        <v>20</v>
      </c>
      <c r="AS6">
        <v>5</v>
      </c>
      <c r="AT6">
        <v>11</v>
      </c>
      <c r="AU6">
        <v>49.65</v>
      </c>
      <c r="AV6">
        <v>120</v>
      </c>
      <c r="AW6">
        <v>25</v>
      </c>
      <c r="AY6" s="38" t="b">
        <f t="shared" si="0"/>
        <v>0</v>
      </c>
      <c r="AZ6" s="25" t="b">
        <f t="shared" si="1"/>
        <v>0</v>
      </c>
      <c r="BA6" s="25">
        <f t="shared" si="2"/>
        <v>5</v>
      </c>
      <c r="BB6" s="25" t="b">
        <f t="shared" si="3"/>
        <v>0</v>
      </c>
      <c r="BC6" s="25" t="b">
        <f t="shared" si="4"/>
        <v>0</v>
      </c>
      <c r="BD6">
        <f t="shared" si="6"/>
        <v>176</v>
      </c>
      <c r="BE6" s="24">
        <f t="shared" si="9"/>
        <v>175</v>
      </c>
      <c r="BF6" t="str">
        <f t="shared" si="5"/>
        <v>NB1212D35_2.0ISO_AC</v>
      </c>
      <c r="BG6" t="b">
        <f t="shared" si="7"/>
        <v>0</v>
      </c>
      <c r="BH6" t="str">
        <f t="shared" si="10"/>
        <v>NB1212D35_2.0ISO_AC</v>
      </c>
      <c r="BI6" s="25">
        <v>4</v>
      </c>
      <c r="BJ6" s="6">
        <v>108</v>
      </c>
      <c r="BK6" s="8">
        <v>1</v>
      </c>
      <c r="BL6" s="9"/>
      <c r="BM6" s="9"/>
      <c r="BN6" s="9"/>
      <c r="BP6" s="14">
        <f t="shared" si="11"/>
        <v>2.7106200000000009</v>
      </c>
      <c r="BQ6" s="11">
        <f t="shared" si="12"/>
        <v>1.3310000000000002E-2</v>
      </c>
      <c r="BS6" s="7" t="s">
        <v>861</v>
      </c>
      <c r="BT6" s="12">
        <f>ROUND(BT5,3)</f>
        <v>2</v>
      </c>
      <c r="BW6" s="7" t="s">
        <v>663</v>
      </c>
      <c r="BX6" s="28">
        <f>INT(BX5)</f>
        <v>15</v>
      </c>
      <c r="BZ6" s="25">
        <f>IF(BN29&gt;3,"ERROR",BN29)</f>
        <v>2</v>
      </c>
      <c r="CA6" s="39" t="s">
        <v>909</v>
      </c>
      <c r="CB6" s="33">
        <f>BZ6*10</f>
        <v>20</v>
      </c>
      <c r="CC6" s="33"/>
      <c r="CD6" s="39">
        <v>1</v>
      </c>
      <c r="CE6" s="45" t="str">
        <f ca="1">LOOKUP(CB$54,CF$5:DP$5,CF6:DP6)</f>
        <v>S2642 M3</v>
      </c>
      <c r="CF6" s="45" t="s">
        <v>1599</v>
      </c>
      <c r="CG6" s="44" t="str">
        <f>CONCATENATE(DR6,DS6,DT6)</f>
        <v>S2642 M3</v>
      </c>
      <c r="CH6" s="44" t="str">
        <f>CONCATENATE(CD6,DR73,DS73)</f>
        <v>1 TOOL CALL 1 Z S2642</v>
      </c>
      <c r="CI6" s="44" t="str">
        <f>CG6</f>
        <v>S2642 M3</v>
      </c>
      <c r="CJ6" s="44" t="str">
        <f>CH6</f>
        <v>1 TOOL CALL 1 Z S2642</v>
      </c>
      <c r="CK6" s="44" t="str">
        <f>CG6</f>
        <v>S2642 M3</v>
      </c>
      <c r="CL6" s="44" t="str">
        <f>CJ6</f>
        <v>1 TOOL CALL 1 Z S2642</v>
      </c>
      <c r="CM6" s="44" t="str">
        <f t="shared" ref="CM6:CR6" si="13">CG6</f>
        <v>S2642 M3</v>
      </c>
      <c r="CN6" s="44" t="str">
        <f t="shared" si="13"/>
        <v>1 TOOL CALL 1 Z S2642</v>
      </c>
      <c r="CO6" s="44" t="str">
        <f t="shared" si="13"/>
        <v>S2642 M3</v>
      </c>
      <c r="CP6" s="44" t="str">
        <f t="shared" si="13"/>
        <v>1 TOOL CALL 1 Z S2642</v>
      </c>
      <c r="CQ6" s="44" t="str">
        <f t="shared" si="13"/>
        <v>S2642 M3</v>
      </c>
      <c r="CR6" s="44" t="str">
        <f t="shared" si="13"/>
        <v>1 TOOL CALL 1 Z S2642</v>
      </c>
      <c r="CS6" s="44" t="str">
        <f t="shared" ref="CS6:CX6" si="14">CG6</f>
        <v>S2642 M3</v>
      </c>
      <c r="CT6" s="44" t="str">
        <f t="shared" si="14"/>
        <v>1 TOOL CALL 1 Z S2642</v>
      </c>
      <c r="CU6" s="44" t="str">
        <f t="shared" si="14"/>
        <v>S2642 M3</v>
      </c>
      <c r="CV6" s="44" t="str">
        <f t="shared" si="14"/>
        <v>1 TOOL CALL 1 Z S2642</v>
      </c>
      <c r="CW6" s="44" t="str">
        <f t="shared" si="14"/>
        <v>S2642 M3</v>
      </c>
      <c r="CX6" s="127" t="str">
        <f t="shared" si="14"/>
        <v>1 TOOL CALL 1 Z S2642</v>
      </c>
      <c r="CY6" s="44" t="str">
        <f t="shared" ref="CY6:DD6" si="15">CG6</f>
        <v>S2642 M3</v>
      </c>
      <c r="CZ6" s="127" t="str">
        <f t="shared" si="15"/>
        <v>1 TOOL CALL 1 Z S2642</v>
      </c>
      <c r="DA6" s="44" t="str">
        <f t="shared" si="15"/>
        <v>S2642 M3</v>
      </c>
      <c r="DB6" s="127" t="str">
        <f t="shared" si="15"/>
        <v>1 TOOL CALL 1 Z S2642</v>
      </c>
      <c r="DC6" s="44" t="str">
        <f t="shared" si="15"/>
        <v>S2642 M3</v>
      </c>
      <c r="DD6" s="127" t="str">
        <f t="shared" si="15"/>
        <v>1 TOOL CALL 1 Z S2642</v>
      </c>
      <c r="DE6" s="44" t="str">
        <f>CONCATENATE(DR6,DS6," M13")</f>
        <v>S2642 M13</v>
      </c>
      <c r="DF6" s="44" t="str">
        <f>DE6</f>
        <v>S2642 M13</v>
      </c>
      <c r="DG6" s="44" t="str">
        <f>DE6</f>
        <v>S2642 M13</v>
      </c>
      <c r="DH6" s="44" t="str">
        <f>DE6</f>
        <v>S2642 M13</v>
      </c>
      <c r="DI6" s="44" t="str">
        <f>DF6</f>
        <v>S2642 M13</v>
      </c>
      <c r="DJ6" s="44" t="str">
        <f>DG6</f>
        <v>S2642 M13</v>
      </c>
      <c r="DK6" s="44" t="str">
        <f>DE6</f>
        <v>S2642 M13</v>
      </c>
      <c r="DL6" s="44" t="str">
        <f>DF6</f>
        <v>S2642 M13</v>
      </c>
      <c r="DM6" s="44" t="str">
        <f>DG6</f>
        <v>S2642 M13</v>
      </c>
      <c r="DN6" s="44" t="str">
        <f>DE6</f>
        <v>S2642 M13</v>
      </c>
      <c r="DO6" s="44" t="str">
        <f>DF6</f>
        <v>S2642 M13</v>
      </c>
      <c r="DP6" s="44" t="str">
        <f>DG6</f>
        <v>S2642 M13</v>
      </c>
      <c r="DQ6" s="49">
        <v>1</v>
      </c>
      <c r="DR6" s="18" t="s">
        <v>539</v>
      </c>
      <c r="DS6" s="6">
        <f>C28</f>
        <v>2642</v>
      </c>
      <c r="DT6" s="18" t="s">
        <v>549</v>
      </c>
      <c r="DU6" s="18"/>
      <c r="DV6" s="18"/>
      <c r="DW6" s="18"/>
      <c r="DX6" s="18"/>
      <c r="DY6" s="18"/>
      <c r="DZ6" s="18"/>
      <c r="EA6" s="18"/>
      <c r="EB6" s="18"/>
      <c r="ED6" s="49"/>
      <c r="EE6" s="18"/>
      <c r="EF6" s="18"/>
      <c r="EG6" s="18"/>
      <c r="EH6" s="18"/>
      <c r="EI6" s="18"/>
      <c r="EJ6" s="18"/>
      <c r="EK6" s="18"/>
      <c r="EL6" s="18"/>
      <c r="EM6" s="18"/>
      <c r="EN6" s="18"/>
      <c r="EO6" s="18"/>
      <c r="EP6" s="18"/>
      <c r="EQ6" s="49"/>
      <c r="ER6" s="18"/>
      <c r="ES6" s="18"/>
      <c r="ET6" s="18"/>
      <c r="EU6" s="18"/>
      <c r="EV6" s="18"/>
      <c r="EW6" s="18"/>
      <c r="EX6" s="18"/>
      <c r="EY6" s="18"/>
      <c r="EZ6" s="18"/>
      <c r="FA6" s="18"/>
      <c r="FB6" s="18"/>
      <c r="FC6" s="18"/>
    </row>
    <row r="7" spans="1:223" ht="19.95" customHeight="1">
      <c r="A7" s="144"/>
      <c r="B7" s="144"/>
      <c r="C7" s="144"/>
      <c r="D7" s="144"/>
      <c r="E7" s="144"/>
      <c r="F7" s="143"/>
      <c r="G7" s="143"/>
      <c r="H7" s="143"/>
      <c r="I7" s="143"/>
      <c r="J7" s="147"/>
      <c r="K7" s="147"/>
      <c r="M7" s="5" t="str">
        <f t="shared" si="8"/>
        <v>Fanuc</v>
      </c>
      <c r="N7" s="34" t="s">
        <v>846</v>
      </c>
      <c r="O7" s="65" t="s">
        <v>846</v>
      </c>
      <c r="P7" s="65" t="s">
        <v>846</v>
      </c>
      <c r="Q7" s="34" t="s">
        <v>846</v>
      </c>
      <c r="R7" s="65" t="s">
        <v>846</v>
      </c>
      <c r="S7" s="65" t="s">
        <v>846</v>
      </c>
      <c r="T7" s="34" t="s">
        <v>846</v>
      </c>
      <c r="U7" s="34" t="s">
        <v>846</v>
      </c>
      <c r="V7" s="34" t="s">
        <v>846</v>
      </c>
      <c r="W7" s="34" t="s">
        <v>846</v>
      </c>
      <c r="X7" s="34" t="s">
        <v>846</v>
      </c>
      <c r="Y7" s="34" t="s">
        <v>846</v>
      </c>
      <c r="Z7" s="34" t="s">
        <v>846</v>
      </c>
      <c r="AA7" s="34" t="s">
        <v>846</v>
      </c>
      <c r="AB7" s="34" t="s">
        <v>846</v>
      </c>
      <c r="AC7" s="65" t="s">
        <v>846</v>
      </c>
      <c r="AD7" s="65" t="s">
        <v>846</v>
      </c>
      <c r="AE7" s="34" t="s">
        <v>846</v>
      </c>
      <c r="AF7" s="90" t="s">
        <v>1563</v>
      </c>
      <c r="AG7" s="65" t="s">
        <v>846</v>
      </c>
      <c r="AH7" s="94" t="s">
        <v>178</v>
      </c>
      <c r="AI7" s="87" t="s">
        <v>261</v>
      </c>
      <c r="AK7" s="4">
        <v>6</v>
      </c>
      <c r="AL7" s="4">
        <v>2</v>
      </c>
      <c r="AM7" s="4">
        <v>4</v>
      </c>
      <c r="AN7" s="4">
        <v>6</v>
      </c>
      <c r="AO7" s="197" t="s">
        <v>2108</v>
      </c>
      <c r="AP7" s="198">
        <v>541.20000000000005</v>
      </c>
      <c r="AQ7">
        <v>20</v>
      </c>
      <c r="AR7">
        <v>20</v>
      </c>
      <c r="AS7">
        <v>4</v>
      </c>
      <c r="AT7">
        <v>8</v>
      </c>
      <c r="AU7">
        <v>42.86</v>
      </c>
      <c r="AV7">
        <v>100</v>
      </c>
      <c r="AW7">
        <v>26</v>
      </c>
      <c r="AY7" s="38" t="b">
        <f t="shared" si="0"/>
        <v>0</v>
      </c>
      <c r="AZ7" s="25" t="b">
        <f t="shared" si="1"/>
        <v>0</v>
      </c>
      <c r="BA7" s="25">
        <f t="shared" si="2"/>
        <v>6</v>
      </c>
      <c r="BB7" s="25" t="b">
        <f t="shared" si="3"/>
        <v>0</v>
      </c>
      <c r="BC7" s="25" t="b">
        <f t="shared" si="4"/>
        <v>0</v>
      </c>
      <c r="BD7">
        <f t="shared" si="6"/>
        <v>174</v>
      </c>
      <c r="BE7" s="24">
        <f t="shared" si="9"/>
        <v>173</v>
      </c>
      <c r="BF7" t="str">
        <f t="shared" si="5"/>
        <v>NB1212D43_2.0ISO_AC</v>
      </c>
      <c r="BG7" t="b">
        <f t="shared" si="7"/>
        <v>0</v>
      </c>
      <c r="BH7" t="str">
        <f t="shared" si="10"/>
        <v>NB1212D43_2.0ISO_AC</v>
      </c>
      <c r="BI7" s="25">
        <v>5</v>
      </c>
      <c r="BJ7" s="6">
        <v>83</v>
      </c>
      <c r="BK7" s="8">
        <v>0.9</v>
      </c>
      <c r="BL7" s="9"/>
      <c r="BM7" s="9"/>
      <c r="BN7" s="9"/>
      <c r="BP7" s="14">
        <f t="shared" si="11"/>
        <v>3.0087882000000015</v>
      </c>
      <c r="BQ7" s="11">
        <f t="shared" si="12"/>
        <v>1.4641000000000003E-2</v>
      </c>
      <c r="BS7" s="7"/>
      <c r="BT7" s="10"/>
      <c r="BW7" s="7" t="s">
        <v>953</v>
      </c>
      <c r="BX7" s="35">
        <f>BX6*BT6</f>
        <v>30</v>
      </c>
      <c r="BZ7" s="33" t="str">
        <f>IF(BX9&gt;1,100,"")</f>
        <v/>
      </c>
      <c r="CA7" s="7" t="s">
        <v>938</v>
      </c>
      <c r="CB7" s="33" t="str">
        <f ca="1">IF(BX42=2,"",BZ7)</f>
        <v/>
      </c>
      <c r="CC7" s="33"/>
      <c r="CD7" s="39"/>
      <c r="CE7" s="45"/>
      <c r="CF7" s="45"/>
      <c r="CQ7" s="44"/>
      <c r="CR7" s="44"/>
      <c r="CS7" s="44"/>
      <c r="DQ7" s="49"/>
      <c r="DR7" s="18"/>
      <c r="DS7" s="18"/>
      <c r="DT7" s="18"/>
      <c r="DU7" s="18">
        <f>-(C12+C13)</f>
        <v>-105</v>
      </c>
      <c r="DV7" s="18"/>
      <c r="DW7" s="18"/>
      <c r="DX7" s="18"/>
      <c r="DY7" s="18"/>
      <c r="DZ7" s="18"/>
      <c r="EA7" s="18"/>
      <c r="EB7" s="18"/>
      <c r="ED7" s="49"/>
      <c r="EE7" s="18"/>
      <c r="EF7" s="18"/>
      <c r="EG7" s="18"/>
      <c r="EH7" s="18"/>
      <c r="EI7" s="18"/>
      <c r="EJ7" s="18"/>
      <c r="EK7" s="18"/>
      <c r="EL7" s="18"/>
      <c r="EM7" s="18"/>
      <c r="EN7" s="18"/>
      <c r="EO7" s="18"/>
      <c r="EP7" s="18"/>
      <c r="EQ7" s="49"/>
      <c r="ER7" s="18"/>
      <c r="ES7" s="18"/>
      <c r="ET7" s="18"/>
      <c r="EU7" s="18"/>
      <c r="EV7" s="18"/>
      <c r="EW7" s="18"/>
      <c r="EX7" s="18"/>
      <c r="EY7" s="18"/>
      <c r="EZ7" s="18"/>
      <c r="FA7" s="18"/>
      <c r="FB7" s="18"/>
      <c r="FC7" s="18"/>
    </row>
    <row r="8" spans="1:223" ht="19.95" customHeight="1">
      <c r="A8" s="144"/>
      <c r="B8" s="144"/>
      <c r="C8" s="144"/>
      <c r="D8" s="144"/>
      <c r="E8" s="144"/>
      <c r="F8" s="143"/>
      <c r="G8" s="143"/>
      <c r="H8" s="143"/>
      <c r="I8" s="143"/>
      <c r="J8" s="147"/>
      <c r="K8" s="147"/>
      <c r="M8" s="5" t="str">
        <f t="shared" si="8"/>
        <v>Heidenhein</v>
      </c>
      <c r="N8" s="34" t="s">
        <v>1660</v>
      </c>
      <c r="O8" s="65" t="s">
        <v>1631</v>
      </c>
      <c r="P8" s="65" t="s">
        <v>1631</v>
      </c>
      <c r="Q8" s="65" t="s">
        <v>1631</v>
      </c>
      <c r="R8" s="65" t="s">
        <v>1631</v>
      </c>
      <c r="S8" s="65" t="s">
        <v>1631</v>
      </c>
      <c r="T8" s="34" t="s">
        <v>1660</v>
      </c>
      <c r="U8" s="65" t="s">
        <v>1631</v>
      </c>
      <c r="V8" s="65" t="s">
        <v>1631</v>
      </c>
      <c r="W8" s="34" t="s">
        <v>1660</v>
      </c>
      <c r="X8" s="65" t="s">
        <v>1631</v>
      </c>
      <c r="Y8" s="65" t="s">
        <v>1631</v>
      </c>
      <c r="Z8" s="65" t="s">
        <v>1631</v>
      </c>
      <c r="AA8" s="65" t="s">
        <v>1631</v>
      </c>
      <c r="AB8" s="65" t="s">
        <v>1631</v>
      </c>
      <c r="AC8" s="65" t="s">
        <v>1631</v>
      </c>
      <c r="AD8" s="65" t="s">
        <v>1631</v>
      </c>
      <c r="AE8" s="65" t="s">
        <v>1631</v>
      </c>
      <c r="AF8" s="90" t="s">
        <v>1564</v>
      </c>
      <c r="AG8" s="65" t="s">
        <v>1631</v>
      </c>
      <c r="AH8" s="94" t="s">
        <v>179</v>
      </c>
      <c r="AI8" s="87" t="s">
        <v>262</v>
      </c>
      <c r="AK8" s="4">
        <v>7</v>
      </c>
      <c r="AL8" s="4">
        <v>2</v>
      </c>
      <c r="AM8" s="4">
        <v>4</v>
      </c>
      <c r="AN8" s="4">
        <v>5</v>
      </c>
      <c r="AO8" s="197" t="s">
        <v>2109</v>
      </c>
      <c r="AP8" s="198">
        <v>541.20000000000005</v>
      </c>
      <c r="AQ8">
        <v>20</v>
      </c>
      <c r="AR8">
        <v>20</v>
      </c>
      <c r="AS8">
        <v>4</v>
      </c>
      <c r="AT8">
        <v>8</v>
      </c>
      <c r="AU8">
        <v>42.86</v>
      </c>
      <c r="AV8">
        <v>100</v>
      </c>
      <c r="AW8">
        <v>26</v>
      </c>
      <c r="AY8" s="38" t="b">
        <f t="shared" si="0"/>
        <v>0</v>
      </c>
      <c r="AZ8" s="25" t="b">
        <f t="shared" si="1"/>
        <v>0</v>
      </c>
      <c r="BA8" s="25">
        <f t="shared" si="2"/>
        <v>7</v>
      </c>
      <c r="BB8" s="25" t="b">
        <f t="shared" si="3"/>
        <v>0</v>
      </c>
      <c r="BC8" s="25" t="b">
        <f t="shared" si="4"/>
        <v>0</v>
      </c>
      <c r="BD8">
        <f t="shared" si="6"/>
        <v>160</v>
      </c>
      <c r="BE8" s="24">
        <f t="shared" si="9"/>
        <v>159</v>
      </c>
      <c r="BF8" t="str">
        <f t="shared" si="5"/>
        <v>NB1616E29_2.0ISO_AC</v>
      </c>
      <c r="BG8" t="b">
        <f t="shared" si="7"/>
        <v>0</v>
      </c>
      <c r="BH8" t="str">
        <f t="shared" si="10"/>
        <v>NB1616E29_2.0ISO_AC</v>
      </c>
      <c r="BI8" s="25">
        <v>6</v>
      </c>
      <c r="BJ8" s="6">
        <v>73</v>
      </c>
      <c r="BK8" s="8">
        <v>0.8</v>
      </c>
      <c r="BL8" s="9"/>
      <c r="BM8" s="9"/>
      <c r="BN8" s="9"/>
      <c r="BP8" s="14">
        <f t="shared" si="11"/>
        <v>3.3397549020000019</v>
      </c>
      <c r="BQ8" s="11">
        <f t="shared" si="12"/>
        <v>1.6105100000000004E-2</v>
      </c>
      <c r="BT8" s="19"/>
      <c r="CA8" s="39" t="s">
        <v>910</v>
      </c>
      <c r="CB8" s="33" t="str">
        <f ca="1">IF(BX42=2,1000,"")</f>
        <v/>
      </c>
      <c r="CC8" s="33"/>
      <c r="CD8" s="39"/>
      <c r="CE8" s="45"/>
      <c r="CF8" s="45"/>
      <c r="CQ8" s="44"/>
      <c r="CR8" s="44"/>
      <c r="CS8" s="44"/>
      <c r="DU8" s="25">
        <f>INT(DU7)</f>
        <v>-105</v>
      </c>
      <c r="ED8" s="49"/>
      <c r="EE8" s="18"/>
      <c r="EF8" s="18"/>
      <c r="EG8" s="18"/>
      <c r="EH8" s="18"/>
      <c r="EI8" s="18"/>
      <c r="EJ8" s="18"/>
      <c r="EK8" s="18"/>
      <c r="EL8" s="18"/>
      <c r="EM8" s="18"/>
      <c r="EN8" s="18"/>
      <c r="EO8" s="18"/>
      <c r="EP8" s="18"/>
      <c r="EQ8" s="49"/>
      <c r="ER8" s="18"/>
      <c r="ES8" s="18"/>
      <c r="ET8" s="18"/>
      <c r="EU8" s="18"/>
      <c r="EV8" s="18"/>
      <c r="EW8" s="18"/>
      <c r="EX8" s="18"/>
      <c r="EY8" s="18"/>
      <c r="EZ8" s="18"/>
      <c r="FA8" s="18"/>
      <c r="FB8" s="18"/>
      <c r="FC8" s="18"/>
    </row>
    <row r="9" spans="1:223" ht="19.95" customHeight="1">
      <c r="A9" s="144"/>
      <c r="B9" s="144"/>
      <c r="C9" s="144"/>
      <c r="D9" s="144"/>
      <c r="E9" s="145"/>
      <c r="F9" s="143"/>
      <c r="G9" s="143"/>
      <c r="H9" s="143"/>
      <c r="I9" s="143"/>
      <c r="J9" s="147"/>
      <c r="K9" s="147"/>
      <c r="M9" s="5" t="str">
        <f t="shared" si="8"/>
        <v>Siemens</v>
      </c>
      <c r="N9" s="34" t="s">
        <v>699</v>
      </c>
      <c r="O9" s="65" t="s">
        <v>699</v>
      </c>
      <c r="P9" s="65" t="s">
        <v>699</v>
      </c>
      <c r="Q9" s="34" t="s">
        <v>699</v>
      </c>
      <c r="R9" s="65" t="s">
        <v>699</v>
      </c>
      <c r="S9" s="65" t="s">
        <v>699</v>
      </c>
      <c r="T9" s="34" t="s">
        <v>699</v>
      </c>
      <c r="U9" s="34" t="s">
        <v>699</v>
      </c>
      <c r="V9" s="34" t="s">
        <v>699</v>
      </c>
      <c r="W9" s="34" t="s">
        <v>699</v>
      </c>
      <c r="X9" s="34" t="s">
        <v>699</v>
      </c>
      <c r="Y9" s="34" t="s">
        <v>699</v>
      </c>
      <c r="Z9" s="34" t="s">
        <v>699</v>
      </c>
      <c r="AA9" s="34" t="s">
        <v>699</v>
      </c>
      <c r="AB9" s="34" t="s">
        <v>699</v>
      </c>
      <c r="AC9" s="65" t="s">
        <v>699</v>
      </c>
      <c r="AD9" s="65" t="s">
        <v>699</v>
      </c>
      <c r="AE9" s="34" t="s">
        <v>699</v>
      </c>
      <c r="AF9" s="90" t="s">
        <v>1565</v>
      </c>
      <c r="AG9" s="65" t="s">
        <v>699</v>
      </c>
      <c r="AH9" s="94" t="s">
        <v>180</v>
      </c>
      <c r="AI9" s="87" t="s">
        <v>263</v>
      </c>
      <c r="AK9" s="4">
        <v>8</v>
      </c>
      <c r="AL9" s="4">
        <v>1</v>
      </c>
      <c r="AM9" s="4">
        <v>1</v>
      </c>
      <c r="AN9" s="4">
        <v>3</v>
      </c>
      <c r="AO9" s="197" t="s">
        <v>2110</v>
      </c>
      <c r="AP9" s="198">
        <v>391.7</v>
      </c>
      <c r="AQ9">
        <v>16</v>
      </c>
      <c r="AR9">
        <v>16</v>
      </c>
      <c r="AS9">
        <v>5</v>
      </c>
      <c r="AT9">
        <v>14</v>
      </c>
      <c r="AU9">
        <v>28.12</v>
      </c>
      <c r="AV9">
        <v>89</v>
      </c>
      <c r="AW9">
        <v>19.7</v>
      </c>
      <c r="AY9" s="38">
        <f t="shared" si="0"/>
        <v>8</v>
      </c>
      <c r="AZ9" s="25" t="b">
        <f t="shared" si="1"/>
        <v>0</v>
      </c>
      <c r="BA9" s="25">
        <f t="shared" si="2"/>
        <v>8</v>
      </c>
      <c r="BB9" s="25" t="b">
        <f t="shared" si="3"/>
        <v>0</v>
      </c>
      <c r="BC9" s="25" t="b">
        <f t="shared" si="4"/>
        <v>0</v>
      </c>
      <c r="BD9">
        <f t="shared" si="6"/>
        <v>157</v>
      </c>
      <c r="BE9" s="24">
        <f t="shared" si="9"/>
        <v>156</v>
      </c>
      <c r="BF9" t="str">
        <f t="shared" si="5"/>
        <v>NB1616E39_2.0ISO_AC</v>
      </c>
      <c r="BG9" t="b">
        <f t="shared" si="7"/>
        <v>0</v>
      </c>
      <c r="BH9" t="str">
        <f t="shared" si="10"/>
        <v>NB1616E39_2.0ISO_AC</v>
      </c>
      <c r="BI9" s="25">
        <v>7</v>
      </c>
      <c r="BJ9" s="6">
        <v>40</v>
      </c>
      <c r="BK9" s="8">
        <v>0.7</v>
      </c>
      <c r="BL9" s="9"/>
      <c r="BM9" s="9"/>
      <c r="BN9" s="9"/>
      <c r="BP9" s="14">
        <f t="shared" si="11"/>
        <v>3.7071279412200027</v>
      </c>
      <c r="BQ9" s="11">
        <f t="shared" si="12"/>
        <v>1.7715610000000007E-2</v>
      </c>
      <c r="BW9" s="7" t="s">
        <v>938</v>
      </c>
      <c r="BX9" s="27">
        <f>LOOKUP(C12,BX10:BX19,BW10:BW19)</f>
        <v>1</v>
      </c>
      <c r="CA9" s="39" t="s">
        <v>854</v>
      </c>
      <c r="CB9" s="33" t="str">
        <f ca="1">IF(BX42=4,10000,"")</f>
        <v/>
      </c>
      <c r="CC9" s="33"/>
      <c r="CD9" s="39">
        <v>2</v>
      </c>
      <c r="CE9" s="45" t="str">
        <f ca="1">LOOKUP(CB$54,CF$5:DP$5,CF9:DP9)</f>
        <v>G00 G91 Z-105.</v>
      </c>
      <c r="CF9" s="45" t="s">
        <v>1600</v>
      </c>
      <c r="CG9" s="44" t="str">
        <f>CONCATENATE(DR9,DS9,DT9,DU9,DV9)</f>
        <v>G00 G91 Z-105.</v>
      </c>
      <c r="CH9" s="44" t="str">
        <f>CONCATENATE(CD9,DR76)</f>
        <v>2 L M3</v>
      </c>
      <c r="CI9" s="44" t="str">
        <f>CG9</f>
        <v>G00 G91 Z-105.</v>
      </c>
      <c r="CJ9" s="44" t="str">
        <f>CH9</f>
        <v>2 L M3</v>
      </c>
      <c r="CK9" s="44" t="str">
        <f>CG9</f>
        <v>G00 G91 Z-105.</v>
      </c>
      <c r="CL9" s="44" t="str">
        <f>CJ9</f>
        <v>2 L M3</v>
      </c>
      <c r="CM9" s="44" t="str">
        <f t="shared" ref="CM9:CR9" si="16">CG9</f>
        <v>G00 G91 Z-105.</v>
      </c>
      <c r="CN9" s="44" t="str">
        <f t="shared" si="16"/>
        <v>2 L M3</v>
      </c>
      <c r="CO9" s="44" t="str">
        <f t="shared" si="16"/>
        <v>G00 G91 Z-105.</v>
      </c>
      <c r="CP9" s="44" t="str">
        <f t="shared" si="16"/>
        <v>2 L M3</v>
      </c>
      <c r="CQ9" s="44" t="str">
        <f t="shared" si="16"/>
        <v>G00 G91 Z-105.</v>
      </c>
      <c r="CR9" s="44" t="str">
        <f t="shared" si="16"/>
        <v>2 L M3</v>
      </c>
      <c r="CS9" s="44" t="str">
        <f t="shared" ref="CS9:CX9" si="17">CG9</f>
        <v>G00 G91 Z-105.</v>
      </c>
      <c r="CT9" s="44" t="str">
        <f t="shared" si="17"/>
        <v>2 L M3</v>
      </c>
      <c r="CU9" s="44" t="str">
        <f t="shared" si="17"/>
        <v>G00 G91 Z-105.</v>
      </c>
      <c r="CV9" s="44" t="str">
        <f t="shared" si="17"/>
        <v>2 L M3</v>
      </c>
      <c r="CW9" s="44" t="str">
        <f t="shared" si="17"/>
        <v>G00 G91 Z-105.</v>
      </c>
      <c r="CX9" s="127" t="str">
        <f t="shared" si="17"/>
        <v>2 L M3</v>
      </c>
      <c r="CY9" s="44" t="str">
        <f t="shared" ref="CY9:DD9" si="18">CG9</f>
        <v>G00 G91 Z-105.</v>
      </c>
      <c r="CZ9" s="127" t="str">
        <f t="shared" si="18"/>
        <v>2 L M3</v>
      </c>
      <c r="DA9" s="44" t="str">
        <f t="shared" si="18"/>
        <v>G00 G91 Z-105.</v>
      </c>
      <c r="DB9" s="127" t="str">
        <f t="shared" si="18"/>
        <v>2 L M3</v>
      </c>
      <c r="DC9" s="44" t="str">
        <f t="shared" si="18"/>
        <v>G00 G91 Z-105.</v>
      </c>
      <c r="DD9" s="127" t="str">
        <f t="shared" si="18"/>
        <v>2 L M3</v>
      </c>
      <c r="DE9" s="44" t="str">
        <f>CONCATENATE(DR9,DS9," G94",DT9,DU9,DV9)</f>
        <v>G00 G91 G94 Z-105.</v>
      </c>
      <c r="DF9" s="44" t="str">
        <f>DE9</f>
        <v>G00 G91 G94 Z-105.</v>
      </c>
      <c r="DG9" s="44" t="str">
        <f>DE9</f>
        <v>G00 G91 G94 Z-105.</v>
      </c>
      <c r="DH9" s="44" t="str">
        <f>DE9</f>
        <v>G00 G91 G94 Z-105.</v>
      </c>
      <c r="DI9" s="44" t="str">
        <f>DF9</f>
        <v>G00 G91 G94 Z-105.</v>
      </c>
      <c r="DJ9" s="44" t="str">
        <f>DG9</f>
        <v>G00 G91 G94 Z-105.</v>
      </c>
      <c r="DK9" s="44" t="str">
        <f>DE9</f>
        <v>G00 G91 G94 Z-105.</v>
      </c>
      <c r="DL9" s="44" t="str">
        <f>DF9</f>
        <v>G00 G91 G94 Z-105.</v>
      </c>
      <c r="DM9" s="44" t="str">
        <f>DG9</f>
        <v>G00 G91 G94 Z-105.</v>
      </c>
      <c r="DN9" s="44" t="str">
        <f>DE9</f>
        <v>G00 G91 G94 Z-105.</v>
      </c>
      <c r="DO9" s="44" t="str">
        <f>DF9</f>
        <v>G00 G91 G94 Z-105.</v>
      </c>
      <c r="DP9" s="44" t="str">
        <f>DG9</f>
        <v>G00 G91 G94 Z-105.</v>
      </c>
      <c r="DQ9" s="49">
        <v>2</v>
      </c>
      <c r="DR9" s="18" t="s">
        <v>540</v>
      </c>
      <c r="DS9" s="18" t="s">
        <v>541</v>
      </c>
      <c r="DT9" s="18" t="s">
        <v>542</v>
      </c>
      <c r="DU9" s="18" t="str">
        <f>SUBSTITUTE(DU7,",",".")</f>
        <v>-105</v>
      </c>
      <c r="DV9" s="18" t="str">
        <f>IF(DU7=DU8,".","")</f>
        <v>.</v>
      </c>
      <c r="DW9" s="18"/>
      <c r="DX9" s="18"/>
      <c r="DY9" s="18"/>
      <c r="DZ9" s="18"/>
      <c r="EA9" s="18"/>
      <c r="EB9" s="18"/>
      <c r="ED9" s="49"/>
      <c r="EE9" s="18"/>
      <c r="EF9" s="18"/>
      <c r="EG9" s="18"/>
      <c r="EH9" s="18"/>
      <c r="EI9" s="18"/>
      <c r="EJ9" s="18"/>
      <c r="EK9" s="18"/>
      <c r="EL9" s="18"/>
      <c r="EM9" s="18"/>
      <c r="EN9" s="18"/>
      <c r="EO9" s="18"/>
      <c r="EP9" s="18"/>
      <c r="EQ9" s="49"/>
      <c r="ER9" s="18"/>
      <c r="ES9" s="18"/>
      <c r="ET9" s="18"/>
      <c r="EU9" s="18"/>
      <c r="EV9" s="18"/>
      <c r="EW9" s="18"/>
      <c r="EX9" s="18"/>
      <c r="EY9" s="18"/>
      <c r="EZ9" s="18"/>
      <c r="FA9" s="18"/>
      <c r="FB9" s="18"/>
      <c r="FC9" s="18"/>
    </row>
    <row r="10" spans="1:223" ht="19.95" customHeight="1">
      <c r="A10" s="144"/>
      <c r="B10" s="164" t="str">
        <f>M60</f>
        <v>D = menet átmérő (mm)</v>
      </c>
      <c r="C10" s="190">
        <v>20</v>
      </c>
      <c r="D10" s="191">
        <v>1</v>
      </c>
      <c r="E10" s="145"/>
      <c r="F10" s="143"/>
      <c r="G10" s="143"/>
      <c r="H10" s="143"/>
      <c r="I10" s="143"/>
      <c r="J10" s="194" t="s">
        <v>770</v>
      </c>
      <c r="K10" s="148"/>
      <c r="L10" s="132"/>
      <c r="M10" s="5" t="str">
        <f t="shared" si="8"/>
        <v>Num</v>
      </c>
      <c r="N10" s="34" t="s">
        <v>700</v>
      </c>
      <c r="O10" s="65" t="s">
        <v>700</v>
      </c>
      <c r="P10" s="65" t="s">
        <v>700</v>
      </c>
      <c r="Q10" s="34" t="s">
        <v>700</v>
      </c>
      <c r="R10" s="65" t="s">
        <v>700</v>
      </c>
      <c r="S10" s="65" t="s">
        <v>700</v>
      </c>
      <c r="T10" s="34" t="s">
        <v>700</v>
      </c>
      <c r="U10" s="34" t="s">
        <v>700</v>
      </c>
      <c r="V10" s="34" t="s">
        <v>700</v>
      </c>
      <c r="W10" s="34" t="s">
        <v>700</v>
      </c>
      <c r="X10" s="34" t="s">
        <v>700</v>
      </c>
      <c r="Y10" s="34" t="s">
        <v>700</v>
      </c>
      <c r="Z10" s="34" t="s">
        <v>700</v>
      </c>
      <c r="AA10" s="34" t="s">
        <v>700</v>
      </c>
      <c r="AB10" s="34" t="s">
        <v>579</v>
      </c>
      <c r="AC10" s="65" t="s">
        <v>700</v>
      </c>
      <c r="AD10" s="65" t="s">
        <v>700</v>
      </c>
      <c r="AE10" s="34" t="s">
        <v>700</v>
      </c>
      <c r="AF10" s="34" t="s">
        <v>700</v>
      </c>
      <c r="AG10" s="65" t="s">
        <v>700</v>
      </c>
      <c r="AH10" s="95" t="s">
        <v>181</v>
      </c>
      <c r="AI10" s="87" t="s">
        <v>264</v>
      </c>
      <c r="AK10" s="4">
        <v>9</v>
      </c>
      <c r="AL10" s="4">
        <v>1</v>
      </c>
      <c r="AM10" s="4">
        <v>1</v>
      </c>
      <c r="AN10" s="4">
        <v>3</v>
      </c>
      <c r="AO10" s="197" t="s">
        <v>2111</v>
      </c>
      <c r="AP10" s="198">
        <v>391.7</v>
      </c>
      <c r="AQ10">
        <v>16</v>
      </c>
      <c r="AR10">
        <v>16</v>
      </c>
      <c r="AS10">
        <v>4</v>
      </c>
      <c r="AT10">
        <v>11</v>
      </c>
      <c r="AU10">
        <v>40.409999999999997</v>
      </c>
      <c r="AV10">
        <v>100</v>
      </c>
      <c r="AW10">
        <v>20.5</v>
      </c>
      <c r="AY10" s="38" t="b">
        <f t="shared" si="0"/>
        <v>0</v>
      </c>
      <c r="AZ10" s="25" t="b">
        <f t="shared" si="1"/>
        <v>0</v>
      </c>
      <c r="BA10" s="25">
        <f t="shared" si="2"/>
        <v>9</v>
      </c>
      <c r="BB10" s="25" t="b">
        <f t="shared" si="3"/>
        <v>0</v>
      </c>
      <c r="BC10" s="25" t="b">
        <f t="shared" si="4"/>
        <v>0</v>
      </c>
      <c r="BD10">
        <f t="shared" si="6"/>
        <v>117</v>
      </c>
      <c r="BE10" s="24">
        <f t="shared" si="9"/>
        <v>116</v>
      </c>
      <c r="BF10" t="str">
        <f t="shared" si="5"/>
        <v>NBK1010C31_2.0ISO_AC</v>
      </c>
      <c r="BG10" t="b">
        <f t="shared" si="7"/>
        <v>0</v>
      </c>
      <c r="BH10" t="str">
        <f t="shared" si="10"/>
        <v>NBK1010C31_2.0ISO_AC</v>
      </c>
      <c r="BI10" s="25">
        <v>8</v>
      </c>
      <c r="BJ10" s="6">
        <v>28</v>
      </c>
      <c r="BK10" s="8">
        <v>0.6</v>
      </c>
      <c r="BM10" s="25"/>
      <c r="BP10" s="14">
        <f t="shared" si="11"/>
        <v>4.1149120147542035</v>
      </c>
      <c r="BQ10" s="11">
        <f t="shared" si="12"/>
        <v>1.9487171000000008E-2</v>
      </c>
      <c r="BS10" s="13" t="s">
        <v>908</v>
      </c>
      <c r="BT10" s="61">
        <v>1</v>
      </c>
      <c r="BW10" s="25">
        <v>1</v>
      </c>
      <c r="BX10" s="25">
        <v>0</v>
      </c>
      <c r="CA10" s="39" t="s">
        <v>536</v>
      </c>
      <c r="CB10" s="33"/>
      <c r="CC10" s="33"/>
      <c r="CD10" s="39"/>
      <c r="CE10" s="45"/>
      <c r="CF10" s="45"/>
      <c r="CQ10" s="44"/>
      <c r="CR10" s="44"/>
      <c r="CS10" s="44"/>
      <c r="DQ10" s="49"/>
      <c r="DR10" s="18"/>
      <c r="DS10" s="18"/>
      <c r="DT10" s="18"/>
      <c r="DU10" s="18">
        <f>BX57</f>
        <v>2.5</v>
      </c>
      <c r="DV10" s="18"/>
      <c r="DW10" s="18">
        <f>-BX57</f>
        <v>-2.5</v>
      </c>
      <c r="DX10" s="18"/>
      <c r="DY10" s="18"/>
      <c r="DZ10" s="18"/>
      <c r="EA10" s="18"/>
      <c r="EB10" s="18"/>
      <c r="ED10" s="49"/>
      <c r="EE10" s="18"/>
      <c r="EF10" s="18"/>
      <c r="EG10" s="18"/>
      <c r="EH10" s="18">
        <f>BY62</f>
        <v>2.323</v>
      </c>
      <c r="EI10" s="18"/>
      <c r="EJ10" s="18">
        <f>-BY62</f>
        <v>-2.323</v>
      </c>
      <c r="EK10" s="18"/>
      <c r="EL10" s="18"/>
      <c r="EM10" s="18"/>
      <c r="EN10" s="18"/>
      <c r="EO10" s="18"/>
      <c r="EP10" s="25"/>
      <c r="EQ10" s="49"/>
      <c r="ER10" s="18"/>
      <c r="ES10" s="18"/>
      <c r="ET10" s="18"/>
      <c r="EU10" s="18">
        <f>BY68</f>
        <v>2.23</v>
      </c>
      <c r="EV10" s="18"/>
      <c r="EW10" s="18">
        <f>-BY68</f>
        <v>-2.23</v>
      </c>
      <c r="EX10" s="18"/>
      <c r="EY10" s="18"/>
      <c r="EZ10" s="18"/>
      <c r="FA10" s="18"/>
      <c r="FB10" s="18"/>
      <c r="FC10" s="25"/>
      <c r="FD10" s="49"/>
    </row>
    <row r="11" spans="1:223" ht="19.95" customHeight="1">
      <c r="A11" s="144"/>
      <c r="B11" s="164" t="str">
        <f>IF(BT10=1,M61,M62)</f>
        <v>P = menetemelkedés (mm)</v>
      </c>
      <c r="C11" s="173">
        <v>2</v>
      </c>
      <c r="D11" s="191">
        <v>2</v>
      </c>
      <c r="E11" s="145"/>
      <c r="F11" s="143"/>
      <c r="G11" s="143"/>
      <c r="H11" s="143"/>
      <c r="I11" s="143"/>
      <c r="J11" s="195">
        <v>41766</v>
      </c>
      <c r="K11" s="149"/>
      <c r="L11" s="132"/>
      <c r="M11" s="5" t="str">
        <f t="shared" si="8"/>
        <v>Fagor</v>
      </c>
      <c r="N11" s="34" t="s">
        <v>701</v>
      </c>
      <c r="O11" s="65" t="s">
        <v>701</v>
      </c>
      <c r="P11" s="65" t="s">
        <v>701</v>
      </c>
      <c r="Q11" s="34" t="s">
        <v>701</v>
      </c>
      <c r="R11" s="65" t="s">
        <v>701</v>
      </c>
      <c r="S11" s="65" t="s">
        <v>701</v>
      </c>
      <c r="T11" s="34" t="s">
        <v>701</v>
      </c>
      <c r="U11" s="34" t="s">
        <v>701</v>
      </c>
      <c r="V11" s="34" t="s">
        <v>701</v>
      </c>
      <c r="W11" s="34" t="s">
        <v>701</v>
      </c>
      <c r="X11" s="34" t="s">
        <v>701</v>
      </c>
      <c r="Y11" s="34" t="s">
        <v>701</v>
      </c>
      <c r="Z11" s="34" t="s">
        <v>701</v>
      </c>
      <c r="AA11" s="34" t="s">
        <v>701</v>
      </c>
      <c r="AB11" s="34" t="s">
        <v>701</v>
      </c>
      <c r="AC11" s="65" t="s">
        <v>701</v>
      </c>
      <c r="AD11" s="65" t="s">
        <v>701</v>
      </c>
      <c r="AE11" s="34" t="s">
        <v>701</v>
      </c>
      <c r="AF11" s="34" t="s">
        <v>701</v>
      </c>
      <c r="AG11" s="65" t="s">
        <v>701</v>
      </c>
      <c r="AH11" s="94" t="s">
        <v>182</v>
      </c>
      <c r="AI11" s="87" t="s">
        <v>265</v>
      </c>
      <c r="AK11" s="4">
        <v>10</v>
      </c>
      <c r="AL11" s="4">
        <v>2</v>
      </c>
      <c r="AM11" s="4">
        <v>4</v>
      </c>
      <c r="AN11" s="4">
        <v>4</v>
      </c>
      <c r="AO11" s="197" t="s">
        <v>2112</v>
      </c>
      <c r="AP11" s="198">
        <v>430.7</v>
      </c>
      <c r="AQ11">
        <v>16</v>
      </c>
      <c r="AR11">
        <v>16</v>
      </c>
      <c r="AS11">
        <v>4</v>
      </c>
      <c r="AT11">
        <v>11</v>
      </c>
      <c r="AU11">
        <v>31.17</v>
      </c>
      <c r="AV11">
        <v>89</v>
      </c>
      <c r="AW11">
        <v>20.5</v>
      </c>
      <c r="AY11" s="38" t="b">
        <f t="shared" si="0"/>
        <v>0</v>
      </c>
      <c r="AZ11" s="25" t="b">
        <f t="shared" si="1"/>
        <v>0</v>
      </c>
      <c r="BA11" s="25">
        <f t="shared" si="2"/>
        <v>10</v>
      </c>
      <c r="BB11" s="25" t="b">
        <f t="shared" si="3"/>
        <v>0</v>
      </c>
      <c r="BC11" s="25" t="b">
        <f t="shared" si="4"/>
        <v>0</v>
      </c>
      <c r="BD11">
        <f t="shared" si="6"/>
        <v>116</v>
      </c>
      <c r="BE11" s="24">
        <f t="shared" si="9"/>
        <v>115</v>
      </c>
      <c r="BF11" t="str">
        <f t="shared" si="5"/>
        <v>NBK1212C51_2.0ISO_AC</v>
      </c>
      <c r="BG11" t="b">
        <f t="shared" si="7"/>
        <v>0</v>
      </c>
      <c r="BH11" t="str">
        <f t="shared" si="10"/>
        <v>NBK1212C51_2.0ISO_AC</v>
      </c>
      <c r="BI11" s="25">
        <v>9</v>
      </c>
      <c r="BJ11" s="6">
        <v>138</v>
      </c>
      <c r="BK11" s="8">
        <v>1.2</v>
      </c>
      <c r="BM11" s="61">
        <v>1</v>
      </c>
      <c r="BN11" s="7" t="s">
        <v>743</v>
      </c>
      <c r="BP11" s="14">
        <f t="shared" si="11"/>
        <v>4.5675523363771662</v>
      </c>
      <c r="BQ11" s="11">
        <f t="shared" si="12"/>
        <v>2.1435888100000012E-2</v>
      </c>
      <c r="BS11" s="34"/>
      <c r="BW11" s="25">
        <v>2</v>
      </c>
      <c r="BX11" s="35">
        <f>BX4</f>
        <v>31.001000000000001</v>
      </c>
      <c r="BZ11" s="61">
        <v>1</v>
      </c>
      <c r="CA11" s="39" t="s">
        <v>855</v>
      </c>
      <c r="CB11" s="33" t="str">
        <f>IF(BZ11=2,1000000,"")</f>
        <v/>
      </c>
      <c r="CC11" s="33"/>
      <c r="CD11" s="39"/>
      <c r="CE11" s="45"/>
      <c r="CF11" s="45"/>
      <c r="CQ11" s="44"/>
      <c r="CR11" s="44"/>
      <c r="CS11" s="44"/>
      <c r="DU11" s="25">
        <f>INT(DU10)</f>
        <v>2</v>
      </c>
      <c r="DW11" s="25">
        <f>INT(DW10)</f>
        <v>-3</v>
      </c>
      <c r="ED11" s="46"/>
      <c r="EE11"/>
      <c r="EF11"/>
      <c r="EG11"/>
      <c r="EH11" s="25">
        <f>INT(EH10)</f>
        <v>2</v>
      </c>
      <c r="EI11"/>
      <c r="EJ11" s="25">
        <f>INT(EJ10)</f>
        <v>-3</v>
      </c>
      <c r="EK11"/>
      <c r="EL11"/>
      <c r="EM11"/>
      <c r="EN11"/>
      <c r="EO11"/>
      <c r="EP11" s="25"/>
      <c r="EU11" s="25">
        <f>INT(EU10)</f>
        <v>2</v>
      </c>
      <c r="EW11" s="25">
        <f>INT(EW10)</f>
        <v>-3</v>
      </c>
      <c r="FC11" s="25"/>
    </row>
    <row r="12" spans="1:223" ht="19.95" customHeight="1">
      <c r="A12" s="144"/>
      <c r="B12" s="164" t="str">
        <f>M63</f>
        <v>L =menet hossz (mm)</v>
      </c>
      <c r="C12" s="173">
        <v>25</v>
      </c>
      <c r="D12" s="191">
        <v>3</v>
      </c>
      <c r="E12" s="145"/>
      <c r="F12" s="143"/>
      <c r="G12" s="143"/>
      <c r="H12" s="143"/>
      <c r="I12" s="143"/>
      <c r="J12" s="143"/>
      <c r="K12" s="143"/>
      <c r="M12" s="5" t="str">
        <f t="shared" si="8"/>
        <v>Mazak</v>
      </c>
      <c r="N12" s="34" t="s">
        <v>702</v>
      </c>
      <c r="O12" s="65" t="s">
        <v>702</v>
      </c>
      <c r="P12" s="65" t="s">
        <v>702</v>
      </c>
      <c r="Q12" s="34" t="s">
        <v>702</v>
      </c>
      <c r="R12" s="65" t="s">
        <v>702</v>
      </c>
      <c r="S12" s="65" t="s">
        <v>702</v>
      </c>
      <c r="T12" s="34" t="s">
        <v>702</v>
      </c>
      <c r="U12" s="34" t="s">
        <v>702</v>
      </c>
      <c r="V12" s="34" t="s">
        <v>702</v>
      </c>
      <c r="W12" s="34" t="s">
        <v>702</v>
      </c>
      <c r="X12" s="34" t="s">
        <v>702</v>
      </c>
      <c r="Y12" s="34" t="s">
        <v>702</v>
      </c>
      <c r="Z12" s="34" t="s">
        <v>702</v>
      </c>
      <c r="AA12" s="34" t="s">
        <v>702</v>
      </c>
      <c r="AB12" s="34" t="s">
        <v>702</v>
      </c>
      <c r="AC12" s="65" t="s">
        <v>702</v>
      </c>
      <c r="AD12" s="65" t="s">
        <v>702</v>
      </c>
      <c r="AE12" s="34" t="s">
        <v>702</v>
      </c>
      <c r="AF12" s="90" t="s">
        <v>1566</v>
      </c>
      <c r="AG12" s="65" t="s">
        <v>702</v>
      </c>
      <c r="AH12" s="94" t="s">
        <v>183</v>
      </c>
      <c r="AI12" s="87" t="s">
        <v>266</v>
      </c>
      <c r="AK12" s="4">
        <v>11</v>
      </c>
      <c r="AL12" s="4">
        <v>2</v>
      </c>
      <c r="AM12" s="4">
        <v>4</v>
      </c>
      <c r="AN12" s="4">
        <v>6</v>
      </c>
      <c r="AO12" s="197" t="s">
        <v>2113</v>
      </c>
      <c r="AP12" s="198">
        <v>430.7</v>
      </c>
      <c r="AQ12">
        <v>16</v>
      </c>
      <c r="AR12">
        <v>16</v>
      </c>
      <c r="AS12">
        <v>4</v>
      </c>
      <c r="AT12">
        <v>11.5</v>
      </c>
      <c r="AU12">
        <v>29.82</v>
      </c>
      <c r="AV12">
        <v>89</v>
      </c>
      <c r="AW12">
        <v>20</v>
      </c>
      <c r="AY12" s="38">
        <f t="shared" si="0"/>
        <v>11</v>
      </c>
      <c r="AZ12" s="25" t="b">
        <f t="shared" si="1"/>
        <v>0</v>
      </c>
      <c r="BA12" s="25">
        <f t="shared" si="2"/>
        <v>11</v>
      </c>
      <c r="BB12" s="25" t="b">
        <f t="shared" si="3"/>
        <v>0</v>
      </c>
      <c r="BC12" s="25" t="b">
        <f t="shared" si="4"/>
        <v>0</v>
      </c>
      <c r="BD12">
        <f t="shared" si="6"/>
        <v>115</v>
      </c>
      <c r="BE12" s="24">
        <f t="shared" si="9"/>
        <v>114</v>
      </c>
      <c r="BF12" t="str">
        <f t="shared" si="5"/>
        <v>NBK1212D27_2.0ISO_AC</v>
      </c>
      <c r="BG12" t="b">
        <f t="shared" si="7"/>
        <v>0</v>
      </c>
      <c r="BH12" t="str">
        <f t="shared" si="10"/>
        <v>NBK1212D27_2.0ISO_AC</v>
      </c>
      <c r="BI12" s="25">
        <v>10</v>
      </c>
      <c r="BJ12" s="6">
        <v>113</v>
      </c>
      <c r="BK12" s="8">
        <v>1.1000000000000001</v>
      </c>
      <c r="BL12" s="9" t="s">
        <v>785</v>
      </c>
      <c r="BM12" s="23">
        <f>LOOKUP(BM11,AK$2:AK$25,BD$2:BD$25)</f>
        <v>201</v>
      </c>
      <c r="BN12" s="26">
        <f>LOOKUP(BM13,BP3:BP32,BQ3:BQ32)</f>
        <v>4.1772481694156552E-2</v>
      </c>
      <c r="BP12" s="14">
        <f t="shared" si="11"/>
        <v>5.0699830933786547</v>
      </c>
      <c r="BQ12" s="11">
        <f t="shared" si="12"/>
        <v>2.3579476910000015E-2</v>
      </c>
      <c r="BS12" s="34"/>
      <c r="BW12" s="25">
        <v>3</v>
      </c>
      <c r="BX12" s="35">
        <f>BX11+BX7</f>
        <v>61.001000000000005</v>
      </c>
      <c r="CA12" s="39"/>
      <c r="CB12" s="33"/>
      <c r="CD12" s="39">
        <v>3</v>
      </c>
      <c r="CE12" s="45" t="str">
        <f ca="1">LOOKUP(CB$54,CF$5:DP$5,CF12:DP12)</f>
        <v>G01 G41 X2.323 Y-2.323 F124</v>
      </c>
      <c r="CF12" s="45"/>
      <c r="CG12" s="44" t="str">
        <f ca="1">CONCATENATE(DR12,DS12,DT12,DU12,DV12,DW12,DX12,DY12)</f>
        <v>G01 G41 X2.5 Y-2.5 F129</v>
      </c>
      <c r="CH12" s="44" t="str">
        <f>CONCATENATE(CD12,DR79,DS79,DT79)</f>
        <v>3 L IZ-105 FMAX</v>
      </c>
      <c r="CI12" s="44" t="str">
        <f ca="1">CONCATENATE(EE12,EF12,EG12,EH12,EI12,EJ12,EK12,EL12)</f>
        <v>G01 G41 X2.323 Y-2.323 F124</v>
      </c>
      <c r="CJ12" s="44" t="str">
        <f>CH12</f>
        <v>3 L IZ-105 FMAX</v>
      </c>
      <c r="CK12" s="44" t="str">
        <f ca="1">CONCATENATE(ER12,ES12,ET12,EU12,EV12,EW12,EX12,EY12)</f>
        <v>G01 G41 X2.23 Y-2.23 F122</v>
      </c>
      <c r="CL12" s="44" t="str">
        <f>CJ12</f>
        <v>3 L IZ-105 FMAX</v>
      </c>
      <c r="CM12" s="44" t="str">
        <f>CONCATENATE(FE12,FF12)</f>
        <v>#1=1</v>
      </c>
      <c r="CN12" s="44" t="str">
        <f>CH12</f>
        <v>3 L IZ-105 FMAX</v>
      </c>
      <c r="CO12" s="44" t="str">
        <f>CM12</f>
        <v>#1=1</v>
      </c>
      <c r="CP12" s="44" t="str">
        <f>CN12</f>
        <v>3 L IZ-105 FMAX</v>
      </c>
      <c r="CQ12" s="4" t="str">
        <f>CM12</f>
        <v>#1=1</v>
      </c>
      <c r="CR12" s="4" t="str">
        <f>CN12</f>
        <v>3 L IZ-105 FMAX</v>
      </c>
      <c r="CS12" s="4" t="str">
        <f t="shared" ref="CS12:CX12" ca="1" si="19">CG12</f>
        <v>G01 G41 X2.5 Y-2.5 F129</v>
      </c>
      <c r="CT12" s="44" t="str">
        <f t="shared" si="19"/>
        <v>3 L IZ-105 FMAX</v>
      </c>
      <c r="CU12" s="44" t="str">
        <f t="shared" ca="1" si="19"/>
        <v>G01 G41 X2.323 Y-2.323 F124</v>
      </c>
      <c r="CV12" s="44" t="str">
        <f t="shared" si="19"/>
        <v>3 L IZ-105 FMAX</v>
      </c>
      <c r="CW12" s="44" t="str">
        <f t="shared" ca="1" si="19"/>
        <v>G01 G41 X2.23 Y-2.23 F122</v>
      </c>
      <c r="CX12" s="127" t="str">
        <f t="shared" si="19"/>
        <v>3 L IZ-105 FMAX</v>
      </c>
      <c r="CY12" s="44" t="str">
        <f t="shared" ref="CY12:DD12" ca="1" si="20">CG12</f>
        <v>G01 G41 X2.5 Y-2.5 F129</v>
      </c>
      <c r="CZ12" s="127" t="str">
        <f t="shared" si="20"/>
        <v>3 L IZ-105 FMAX</v>
      </c>
      <c r="DA12" s="44" t="str">
        <f t="shared" ca="1" si="20"/>
        <v>G01 G41 X2.323 Y-2.323 F124</v>
      </c>
      <c r="DB12" s="127" t="str">
        <f t="shared" si="20"/>
        <v>3 L IZ-105 FMAX</v>
      </c>
      <c r="DC12" s="44" t="str">
        <f t="shared" ca="1" si="20"/>
        <v>G01 G41 X2.23 Y-2.23 F122</v>
      </c>
      <c r="DD12" s="127" t="str">
        <f t="shared" si="20"/>
        <v>3 L IZ-105 FMAX</v>
      </c>
      <c r="DE12" s="44" t="s">
        <v>615</v>
      </c>
      <c r="DF12" s="44" t="str">
        <f>DE12</f>
        <v>G12.1</v>
      </c>
      <c r="DG12" s="44" t="str">
        <f>DE12</f>
        <v>G12.1</v>
      </c>
      <c r="DH12" s="44" t="str">
        <f>DE12</f>
        <v>G12.1</v>
      </c>
      <c r="DI12" s="44" t="str">
        <f>DF12</f>
        <v>G12.1</v>
      </c>
      <c r="DJ12" s="44" t="str">
        <f>DG12</f>
        <v>G12.1</v>
      </c>
      <c r="DK12" s="44" t="str">
        <f>DE12</f>
        <v>G12.1</v>
      </c>
      <c r="DL12" s="44" t="str">
        <f>DF12</f>
        <v>G12.1</v>
      </c>
      <c r="DM12" s="44" t="str">
        <f>DG12</f>
        <v>G12.1</v>
      </c>
      <c r="DN12" s="44" t="str">
        <f>DE12</f>
        <v>G12.1</v>
      </c>
      <c r="DO12" s="44" t="str">
        <f>DF12</f>
        <v>G12.1</v>
      </c>
      <c r="DP12" s="44" t="str">
        <f>DG12</f>
        <v>G12.1</v>
      </c>
      <c r="DQ12" s="49">
        <v>3</v>
      </c>
      <c r="DR12" s="18" t="s">
        <v>543</v>
      </c>
      <c r="DS12" s="18" t="s">
        <v>544</v>
      </c>
      <c r="DT12" s="18" t="s">
        <v>545</v>
      </c>
      <c r="DU12" s="18" t="str">
        <f>SUBSTITUTE(DU10,",",".")</f>
        <v>2.5</v>
      </c>
      <c r="DV12" s="18" t="str">
        <f>IF(DU10=DU11,". Y"," Y")</f>
        <v xml:space="preserve"> Y</v>
      </c>
      <c r="DW12" s="18" t="str">
        <f>SUBSTITUTE(DW10,",",".")</f>
        <v>-2.5</v>
      </c>
      <c r="DX12" s="18" t="str">
        <f>IF(DW10=DW11,". F"," F")</f>
        <v xml:space="preserve"> F</v>
      </c>
      <c r="DY12" s="6">
        <f ca="1">C30</f>
        <v>129</v>
      </c>
      <c r="DZ12" s="18"/>
      <c r="EA12" s="18"/>
      <c r="EB12" s="18"/>
      <c r="ED12" s="49">
        <v>3</v>
      </c>
      <c r="EE12" s="18" t="s">
        <v>543</v>
      </c>
      <c r="EF12" s="18" t="s">
        <v>544</v>
      </c>
      <c r="EG12" s="18" t="s">
        <v>545</v>
      </c>
      <c r="EH12" s="18" t="str">
        <f>SUBSTITUTE(EH10,",",".")</f>
        <v>2.323</v>
      </c>
      <c r="EI12" s="18" t="str">
        <f>IF(EH10=EH11,". Y"," Y")</f>
        <v xml:space="preserve"> Y</v>
      </c>
      <c r="EJ12" s="18" t="str">
        <f>SUBSTITUTE(EJ10,",",".")</f>
        <v>-2.323</v>
      </c>
      <c r="EK12" s="18" t="str">
        <f>IF(EJ10=EJ11,". F"," F")</f>
        <v xml:space="preserve"> F</v>
      </c>
      <c r="EL12" s="6">
        <f ca="1">BZ62</f>
        <v>124</v>
      </c>
      <c r="EM12" s="18"/>
      <c r="EN12" s="18"/>
      <c r="EO12" s="18"/>
      <c r="EP12" s="25"/>
      <c r="EQ12" s="49">
        <v>3</v>
      </c>
      <c r="ER12" s="18" t="s">
        <v>543</v>
      </c>
      <c r="ES12" s="18" t="s">
        <v>544</v>
      </c>
      <c r="ET12" s="18" t="s">
        <v>545</v>
      </c>
      <c r="EU12" s="18" t="str">
        <f>SUBSTITUTE(EU10,",",".")</f>
        <v>2.23</v>
      </c>
      <c r="EV12" s="18" t="str">
        <f>IF(EU10=EU11,". Y"," Y")</f>
        <v xml:space="preserve"> Y</v>
      </c>
      <c r="EW12" s="18" t="str">
        <f>SUBSTITUTE(EW10,",",".")</f>
        <v>-2.23</v>
      </c>
      <c r="EX12" s="18" t="str">
        <f>IF(EW10=EW11,". F"," F")</f>
        <v xml:space="preserve"> F</v>
      </c>
      <c r="EY12" s="6">
        <f ca="1">BZ68</f>
        <v>122</v>
      </c>
      <c r="EZ12" s="18"/>
      <c r="FA12" s="18"/>
      <c r="FB12" s="18"/>
      <c r="FC12" s="25"/>
      <c r="FD12" s="49">
        <v>3</v>
      </c>
      <c r="FE12" s="122" t="s">
        <v>716</v>
      </c>
      <c r="FF12" s="123">
        <f>BX9</f>
        <v>1</v>
      </c>
    </row>
    <row r="13" spans="1:223" ht="19.95" customHeight="1">
      <c r="A13" s="144"/>
      <c r="B13" s="164" t="str">
        <f>M64</f>
        <v>Gépóra költség (€)</v>
      </c>
      <c r="C13" s="179">
        <v>80</v>
      </c>
      <c r="D13" s="191">
        <v>4</v>
      </c>
      <c r="E13" s="145"/>
      <c r="F13" s="143"/>
      <c r="G13" s="151"/>
      <c r="H13" s="151"/>
      <c r="I13" s="151"/>
      <c r="J13" s="156"/>
      <c r="K13" s="156"/>
      <c r="M13" s="5" t="str">
        <f t="shared" si="8"/>
        <v>Mitsubishi</v>
      </c>
      <c r="N13" s="34" t="s">
        <v>627</v>
      </c>
      <c r="O13" s="65" t="s">
        <v>627</v>
      </c>
      <c r="P13" s="65" t="s">
        <v>627</v>
      </c>
      <c r="Q13" s="34" t="s">
        <v>627</v>
      </c>
      <c r="R13" s="65" t="s">
        <v>627</v>
      </c>
      <c r="S13" s="65" t="s">
        <v>627</v>
      </c>
      <c r="T13" s="34" t="s">
        <v>627</v>
      </c>
      <c r="U13" s="34" t="s">
        <v>627</v>
      </c>
      <c r="V13" s="34" t="s">
        <v>627</v>
      </c>
      <c r="W13" s="34" t="s">
        <v>627</v>
      </c>
      <c r="X13" s="34" t="s">
        <v>627</v>
      </c>
      <c r="Y13" s="34" t="s">
        <v>627</v>
      </c>
      <c r="Z13" s="34" t="s">
        <v>627</v>
      </c>
      <c r="AA13" s="34" t="s">
        <v>627</v>
      </c>
      <c r="AB13" s="34" t="s">
        <v>627</v>
      </c>
      <c r="AC13" s="65" t="s">
        <v>627</v>
      </c>
      <c r="AD13" s="65" t="s">
        <v>627</v>
      </c>
      <c r="AE13" s="34" t="s">
        <v>627</v>
      </c>
      <c r="AF13" s="90" t="s">
        <v>1567</v>
      </c>
      <c r="AG13" s="65" t="s">
        <v>627</v>
      </c>
      <c r="AH13" s="94" t="s">
        <v>184</v>
      </c>
      <c r="AI13" s="87" t="s">
        <v>267</v>
      </c>
      <c r="AK13" s="4">
        <v>12</v>
      </c>
      <c r="AL13" s="4">
        <v>2</v>
      </c>
      <c r="AM13" s="4">
        <v>4</v>
      </c>
      <c r="AN13" s="4">
        <v>5</v>
      </c>
      <c r="AO13" s="197" t="s">
        <v>2114</v>
      </c>
      <c r="AP13" s="198">
        <v>430.7</v>
      </c>
      <c r="AQ13">
        <v>16</v>
      </c>
      <c r="AR13">
        <v>16</v>
      </c>
      <c r="AS13">
        <v>4</v>
      </c>
      <c r="AT13">
        <v>11.5</v>
      </c>
      <c r="AU13">
        <v>29.82</v>
      </c>
      <c r="AV13">
        <v>89</v>
      </c>
      <c r="AW13">
        <v>20</v>
      </c>
      <c r="AY13" s="38">
        <f t="shared" si="0"/>
        <v>12</v>
      </c>
      <c r="AZ13" s="25" t="b">
        <f t="shared" si="1"/>
        <v>0</v>
      </c>
      <c r="BA13" s="25">
        <f t="shared" si="2"/>
        <v>12</v>
      </c>
      <c r="BB13" s="25" t="b">
        <f t="shared" si="3"/>
        <v>0</v>
      </c>
      <c r="BC13" s="25" t="b">
        <f t="shared" si="4"/>
        <v>0</v>
      </c>
      <c r="BD13">
        <f t="shared" si="6"/>
        <v>113</v>
      </c>
      <c r="BE13" s="24">
        <f t="shared" si="9"/>
        <v>112</v>
      </c>
      <c r="BF13" t="str">
        <f t="shared" si="5"/>
        <v>NBK1212D35_2.0ISO_AC</v>
      </c>
      <c r="BG13" t="b">
        <f t="shared" si="7"/>
        <v>0</v>
      </c>
      <c r="BH13" t="str">
        <f t="shared" si="10"/>
        <v>NBK1212D35_2.0ISO_AC</v>
      </c>
      <c r="BI13" s="25">
        <v>11</v>
      </c>
      <c r="BJ13" s="6">
        <v>113</v>
      </c>
      <c r="BK13" s="8">
        <v>1</v>
      </c>
      <c r="BL13" s="9" t="s">
        <v>804</v>
      </c>
      <c r="BM13" s="27">
        <f>IF(D21&gt;0,D21,C21)</f>
        <v>10</v>
      </c>
      <c r="BP13" s="14">
        <f t="shared" si="11"/>
        <v>5.627681233650307</v>
      </c>
      <c r="BQ13" s="11">
        <f t="shared" si="12"/>
        <v>2.5937424601000018E-2</v>
      </c>
      <c r="BS13" s="34"/>
      <c r="BW13" s="25">
        <v>4</v>
      </c>
      <c r="BX13" s="35">
        <f>BX12+BX7</f>
        <v>91.001000000000005</v>
      </c>
      <c r="CA13" s="39" t="s">
        <v>608</v>
      </c>
      <c r="CB13" s="33">
        <f ca="1">SUM(CB5:CB11)</f>
        <v>21</v>
      </c>
      <c r="CC13" s="33"/>
      <c r="CD13" s="39"/>
      <c r="CE13" s="45"/>
      <c r="CF13" s="45"/>
      <c r="CQ13" s="44"/>
      <c r="CR13" s="44"/>
      <c r="CS13" s="44"/>
      <c r="DQ13" s="49"/>
      <c r="DR13" s="18"/>
      <c r="DS13" s="18"/>
      <c r="DT13" s="18">
        <f>BX57</f>
        <v>2.5</v>
      </c>
      <c r="DU13" s="18"/>
      <c r="DV13" s="18">
        <f>BX57</f>
        <v>2.5</v>
      </c>
      <c r="DW13" s="18"/>
      <c r="DX13" s="18">
        <f>ROUND(BT6/8,3)</f>
        <v>0.25</v>
      </c>
      <c r="DY13" s="18"/>
      <c r="DZ13" s="18"/>
      <c r="EA13" s="18"/>
      <c r="EB13" s="18">
        <f>BX57</f>
        <v>2.5</v>
      </c>
      <c r="ED13" s="49"/>
      <c r="EE13" s="18"/>
      <c r="EF13" s="18"/>
      <c r="EG13" s="18">
        <f>BY62</f>
        <v>2.323</v>
      </c>
      <c r="EH13" s="18"/>
      <c r="EI13" s="18">
        <f>BY62</f>
        <v>2.323</v>
      </c>
      <c r="EJ13" s="18"/>
      <c r="EK13" s="18">
        <f>ROUND(BT6/8,3)</f>
        <v>0.25</v>
      </c>
      <c r="EL13" s="18"/>
      <c r="EM13" s="18"/>
      <c r="EN13" s="18"/>
      <c r="EO13" s="18">
        <f>BY62</f>
        <v>2.323</v>
      </c>
      <c r="EP13" s="25"/>
      <c r="EQ13" s="49"/>
      <c r="ER13" s="18"/>
      <c r="ES13" s="18"/>
      <c r="ET13" s="18">
        <f>BY68</f>
        <v>2.23</v>
      </c>
      <c r="EU13" s="18"/>
      <c r="EV13" s="18">
        <f>BY68</f>
        <v>2.23</v>
      </c>
      <c r="EW13" s="18"/>
      <c r="EX13" s="18">
        <f>ROUND(BT6/8,3)</f>
        <v>0.25</v>
      </c>
      <c r="EY13" s="18"/>
      <c r="EZ13" s="18"/>
      <c r="FA13" s="18"/>
      <c r="FB13" s="18">
        <f>BY68</f>
        <v>2.23</v>
      </c>
      <c r="FC13" s="25"/>
      <c r="FD13" s="49"/>
    </row>
    <row r="14" spans="1:223" ht="19.95" customHeight="1">
      <c r="A14" s="144"/>
      <c r="B14" s="143"/>
      <c r="C14" s="150"/>
      <c r="D14" s="150"/>
      <c r="E14" s="145"/>
      <c r="F14" s="143"/>
      <c r="G14" s="157"/>
      <c r="H14" s="200"/>
      <c r="I14" s="201"/>
      <c r="J14" s="202"/>
      <c r="K14" s="156"/>
      <c r="M14" s="5"/>
      <c r="N14" s="34"/>
      <c r="O14" s="65"/>
      <c r="AE14" s="76"/>
      <c r="AH14" s="95"/>
      <c r="AK14" s="4">
        <v>13</v>
      </c>
      <c r="AL14" s="4">
        <v>1</v>
      </c>
      <c r="AM14" s="4">
        <v>1</v>
      </c>
      <c r="AN14" s="4">
        <v>7</v>
      </c>
      <c r="AO14" s="197" t="s">
        <v>2115</v>
      </c>
      <c r="AP14" s="198">
        <v>430.7</v>
      </c>
      <c r="AQ14">
        <v>16</v>
      </c>
      <c r="AR14">
        <v>16</v>
      </c>
      <c r="AS14">
        <v>4</v>
      </c>
      <c r="AT14">
        <v>11.5</v>
      </c>
      <c r="AU14">
        <v>29.82</v>
      </c>
      <c r="AV14">
        <v>89</v>
      </c>
      <c r="AW14">
        <v>20</v>
      </c>
      <c r="AY14" s="38">
        <f t="shared" si="0"/>
        <v>13</v>
      </c>
      <c r="AZ14" s="25" t="b">
        <f t="shared" si="1"/>
        <v>0</v>
      </c>
      <c r="BA14" s="25">
        <f t="shared" si="2"/>
        <v>13</v>
      </c>
      <c r="BB14" s="25" t="b">
        <f t="shared" si="3"/>
        <v>0</v>
      </c>
      <c r="BC14" s="25" t="b">
        <f t="shared" si="4"/>
        <v>0</v>
      </c>
      <c r="BD14">
        <f t="shared" si="6"/>
        <v>112</v>
      </c>
      <c r="BE14" s="24">
        <f t="shared" si="9"/>
        <v>111</v>
      </c>
      <c r="BF14" t="str">
        <f t="shared" si="5"/>
        <v>NBK1212D43_2.0ISO_AC</v>
      </c>
      <c r="BG14" t="b">
        <f t="shared" si="7"/>
        <v>0</v>
      </c>
      <c r="BH14" t="str">
        <f t="shared" si="10"/>
        <v>NBK1212D43_2.0ISO_AC</v>
      </c>
      <c r="BI14" s="25">
        <v>12</v>
      </c>
      <c r="BJ14" s="6">
        <v>90</v>
      </c>
      <c r="BK14" s="8">
        <v>0.9</v>
      </c>
      <c r="BP14" s="14">
        <f t="shared" si="11"/>
        <v>6.2467261693518417</v>
      </c>
      <c r="BQ14" s="11">
        <f t="shared" si="12"/>
        <v>2.8531167061100021E-2</v>
      </c>
      <c r="BW14" s="25">
        <v>5</v>
      </c>
      <c r="BX14" s="35">
        <f>BX13+BX7</f>
        <v>121.001</v>
      </c>
      <c r="CA14" s="33"/>
      <c r="CB14" s="33"/>
      <c r="CC14" s="33"/>
      <c r="CD14" s="39"/>
      <c r="CE14" s="45"/>
      <c r="CF14" s="45"/>
      <c r="CQ14" s="44"/>
      <c r="CR14" s="44"/>
      <c r="CS14" s="44"/>
      <c r="DQ14" s="48"/>
      <c r="DR14" s="25"/>
      <c r="DS14" s="25"/>
      <c r="DT14" s="25">
        <f>INT(DT13)</f>
        <v>2</v>
      </c>
      <c r="DU14" s="25"/>
      <c r="DV14" s="25">
        <f>INT(DV13)</f>
        <v>2</v>
      </c>
      <c r="DW14" s="25"/>
      <c r="DX14" s="25">
        <f>INT(DX13)</f>
        <v>0</v>
      </c>
      <c r="DY14" s="25"/>
      <c r="DZ14" s="25"/>
      <c r="EA14" s="25"/>
      <c r="EB14" s="25">
        <f>INT(EB13)</f>
        <v>2</v>
      </c>
      <c r="EG14" s="25">
        <f>INT(EG13)</f>
        <v>2</v>
      </c>
      <c r="EI14" s="25">
        <f>INT(EI13)</f>
        <v>2</v>
      </c>
      <c r="EK14" s="25">
        <f>INT(EK13)</f>
        <v>0</v>
      </c>
      <c r="EO14" s="25">
        <f>INT(EO13)</f>
        <v>2</v>
      </c>
      <c r="EP14" s="25"/>
      <c r="EQ14" s="48"/>
      <c r="ER14" s="25"/>
      <c r="ES14" s="25"/>
      <c r="ET14" s="25">
        <f>INT(ET13)</f>
        <v>2</v>
      </c>
      <c r="EU14" s="25"/>
      <c r="EV14" s="25">
        <f>INT(EV13)</f>
        <v>2</v>
      </c>
      <c r="EW14" s="25"/>
      <c r="EX14" s="25">
        <f>INT(EX13)</f>
        <v>0</v>
      </c>
      <c r="EY14" s="25"/>
      <c r="EZ14" s="25"/>
      <c r="FA14" s="25"/>
      <c r="FB14" s="25">
        <f>INT(FB13)</f>
        <v>2</v>
      </c>
      <c r="FC14" s="25"/>
      <c r="FD14" s="48"/>
    </row>
    <row r="15" spans="1:223" ht="19.95" customHeight="1">
      <c r="A15" s="162"/>
      <c r="B15" s="160"/>
      <c r="C15" s="158"/>
      <c r="D15" s="158"/>
      <c r="E15" s="159"/>
      <c r="F15" s="143"/>
      <c r="G15" s="151"/>
      <c r="H15" s="151"/>
      <c r="I15" s="151"/>
      <c r="J15" s="156"/>
      <c r="K15" s="156"/>
      <c r="M15" s="5"/>
      <c r="N15" s="34"/>
      <c r="O15" s="65"/>
      <c r="AE15" s="76"/>
      <c r="AH15" s="95"/>
      <c r="AK15" s="4">
        <v>14</v>
      </c>
      <c r="AL15" s="4">
        <v>2</v>
      </c>
      <c r="AM15" s="4">
        <v>4</v>
      </c>
      <c r="AN15" s="4">
        <v>5</v>
      </c>
      <c r="AO15" s="197" t="s">
        <v>2116</v>
      </c>
      <c r="AP15" s="198">
        <v>430.7</v>
      </c>
      <c r="AQ15">
        <v>16</v>
      </c>
      <c r="AR15">
        <v>16</v>
      </c>
      <c r="AS15">
        <v>4</v>
      </c>
      <c r="AT15">
        <v>14</v>
      </c>
      <c r="AU15">
        <v>22.86</v>
      </c>
      <c r="AV15">
        <v>89</v>
      </c>
      <c r="AW15">
        <v>19.399999999999999</v>
      </c>
      <c r="AY15" s="38">
        <f t="shared" si="0"/>
        <v>14</v>
      </c>
      <c r="AZ15" s="25" t="b">
        <f t="shared" si="1"/>
        <v>0</v>
      </c>
      <c r="BA15" s="25" t="b">
        <f t="shared" si="2"/>
        <v>0</v>
      </c>
      <c r="BB15" s="25" t="b">
        <f t="shared" si="3"/>
        <v>0</v>
      </c>
      <c r="BC15" s="25" t="b">
        <f t="shared" si="4"/>
        <v>0</v>
      </c>
      <c r="BD15">
        <f t="shared" si="6"/>
        <v>106</v>
      </c>
      <c r="BE15" s="24">
        <f t="shared" si="9"/>
        <v>105</v>
      </c>
      <c r="BF15" t="str">
        <f t="shared" si="5"/>
        <v>NBK1616E39_2.0ISO_AC</v>
      </c>
      <c r="BG15" t="b">
        <f t="shared" si="7"/>
        <v>0</v>
      </c>
      <c r="BH15" t="str">
        <f t="shared" si="10"/>
        <v>NBK1616E39_2.0ISO_AC</v>
      </c>
      <c r="BI15" s="25">
        <v>13</v>
      </c>
      <c r="BJ15" s="6">
        <v>138</v>
      </c>
      <c r="BK15" s="8">
        <v>1</v>
      </c>
      <c r="BL15" s="9" t="s">
        <v>806</v>
      </c>
      <c r="BM15" s="27">
        <f>IF(D23&gt;0,D23,C23)</f>
        <v>3</v>
      </c>
      <c r="BP15" s="14">
        <f t="shared" si="11"/>
        <v>6.933866047980545</v>
      </c>
      <c r="BQ15" s="11">
        <f t="shared" si="12"/>
        <v>3.1384283767210024E-2</v>
      </c>
      <c r="BW15" s="25">
        <v>6</v>
      </c>
      <c r="BX15" s="35">
        <f>BX14+BX7</f>
        <v>151.001</v>
      </c>
      <c r="CA15" s="33">
        <v>10111</v>
      </c>
      <c r="CB15" s="33">
        <f ca="1">(IF(CB$13=CA15,CB$13,0))</f>
        <v>0</v>
      </c>
      <c r="CC15" s="33"/>
      <c r="CD15" s="39">
        <v>4</v>
      </c>
      <c r="CE15" s="45" t="str">
        <f ca="1">LOOKUP(CB$54,CF$5:DP$5,CF15:DP15)</f>
        <v>G03 X2.323 Y2.323 Z0.25 I0. J2.323</v>
      </c>
      <c r="CF15" s="45"/>
      <c r="CG15" s="44" t="str">
        <f>CONCATENATE(DR15,DS15,DT15,DU15,DV15,DW15,DX15,DY15,DZ15,EA15,EB15,EC15)</f>
        <v>G03 X2.5 Y2.5 Z0.25 I0. J2.5</v>
      </c>
      <c r="CH15" s="44" t="str">
        <f ca="1">CONCATENATE(CD15,DR82,DS82,DT82,DU82,DV82,DW82)</f>
        <v>4 L IX+2.5 IY-2.5 RL F129</v>
      </c>
      <c r="CI15" s="44" t="str">
        <f>CONCATENATE(EE15,EF15,EG15,EH15,EI15,EJ15,EK15,EL15,EM15,EN15,EO15,EP15)</f>
        <v>G03 X2.323 Y2.323 Z0.25 I0. J2.323</v>
      </c>
      <c r="CJ15" s="44" t="str">
        <f ca="1">CONCATENATE(CD15,EE82,EF82,EG82,EH82,EI82,EJ82)</f>
        <v>4 L IX+2.323 IY-2.323 RL F124</v>
      </c>
      <c r="CK15" s="44" t="str">
        <f>CONCATENATE(ER15,ES15,ET15,EU15,EV15,EW15,EX15,EY15,EZ15,FA15,FB15,FC15)</f>
        <v>G03 X2.23 Y2.23 Z0.25 I0. J2.23</v>
      </c>
      <c r="CL15" s="44" t="str">
        <f ca="1">CONCATENATE(CD15,ER82,ES82,ET82,EU82,EV82,EW82)</f>
        <v>4 L IX+2.23 IY-2.23 RL F122</v>
      </c>
      <c r="CM15" s="44" t="str">
        <f>FE15</f>
        <v>#2=0</v>
      </c>
      <c r="CN15" s="44" t="str">
        <f>CONCATENATE(CD15,FE82,FF82)</f>
        <v>4 FN 0: Q1 =+1</v>
      </c>
      <c r="CO15" s="44" t="str">
        <f>CM15</f>
        <v>#2=0</v>
      </c>
      <c r="CP15" s="44" t="str">
        <f>CN15</f>
        <v>4 FN 0: Q1 =+1</v>
      </c>
      <c r="CQ15" s="44" t="str">
        <f>CM15</f>
        <v>#2=0</v>
      </c>
      <c r="CR15" s="4" t="str">
        <f>CN15</f>
        <v>4 FN 0: Q1 =+1</v>
      </c>
      <c r="CS15" s="44" t="str">
        <f t="shared" ref="CS15:CX15" si="21">CG15</f>
        <v>G03 X2.5 Y2.5 Z0.25 I0. J2.5</v>
      </c>
      <c r="CT15" s="44" t="str">
        <f t="shared" ca="1" si="21"/>
        <v>4 L IX+2.5 IY-2.5 RL F129</v>
      </c>
      <c r="CU15" s="44" t="str">
        <f t="shared" si="21"/>
        <v>G03 X2.323 Y2.323 Z0.25 I0. J2.323</v>
      </c>
      <c r="CV15" s="44" t="str">
        <f t="shared" ca="1" si="21"/>
        <v>4 L IX+2.323 IY-2.323 RL F124</v>
      </c>
      <c r="CW15" s="44" t="str">
        <f t="shared" si="21"/>
        <v>G03 X2.23 Y2.23 Z0.25 I0. J2.23</v>
      </c>
      <c r="CX15" s="127" t="str">
        <f t="shared" ca="1" si="21"/>
        <v>4 L IX+2.23 IY-2.23 RL F122</v>
      </c>
      <c r="CY15" s="44" t="str">
        <f t="shared" ref="CY15:DD15" si="22">CG15</f>
        <v>G03 X2.5 Y2.5 Z0.25 I0. J2.5</v>
      </c>
      <c r="CZ15" s="127" t="str">
        <f t="shared" ca="1" si="22"/>
        <v>4 L IX+2.5 IY-2.5 RL F129</v>
      </c>
      <c r="DA15" s="44" t="str">
        <f t="shared" si="22"/>
        <v>G03 X2.323 Y2.323 Z0.25 I0. J2.323</v>
      </c>
      <c r="DB15" s="127" t="str">
        <f t="shared" ca="1" si="22"/>
        <v>4 L IX+2.323 IY-2.323 RL F124</v>
      </c>
      <c r="DC15" s="44" t="str">
        <f t="shared" si="22"/>
        <v>G03 X2.23 Y2.23 Z0.25 I0. J2.23</v>
      </c>
      <c r="DD15" s="127" t="str">
        <f t="shared" ca="1" si="22"/>
        <v>4 L IX+2.23 IY-2.23 RL F122</v>
      </c>
      <c r="DE15" s="44" t="str">
        <f ca="1">CONCATENATE(DR12,DS12,DT12,DU12,HG15,DW12,DX12,DY12)</f>
        <v>G01 G41 X2.5 C-2.5 F129</v>
      </c>
      <c r="DF15" s="44" t="str">
        <f ca="1">CONCATENATE(EE12,EF12,EG12,EH12,HI15,EJ12,EK12,EL12)</f>
        <v>G01 G41 X2.323 C-2.323 F124</v>
      </c>
      <c r="DG15" s="44" t="str">
        <f ca="1">CONCATENATE(ER12,ES12,ET12,EU12,HK15,EW12,EX12,EY12)</f>
        <v>G01 G41 X2.23 C-2.23 F122</v>
      </c>
      <c r="DH15" s="44" t="str">
        <f>CM12</f>
        <v>#1=1</v>
      </c>
      <c r="DI15" s="44" t="str">
        <f>DH15</f>
        <v>#1=1</v>
      </c>
      <c r="DJ15" s="44" t="str">
        <f>DH15</f>
        <v>#1=1</v>
      </c>
      <c r="DK15" s="44" t="str">
        <f ca="1">DE15</f>
        <v>G01 G41 X2.5 C-2.5 F129</v>
      </c>
      <c r="DL15" s="44" t="str">
        <f ca="1">DF15</f>
        <v>G01 G41 X2.323 C-2.323 F124</v>
      </c>
      <c r="DM15" s="44" t="str">
        <f ca="1">DG15</f>
        <v>G01 G41 X2.23 C-2.23 F122</v>
      </c>
      <c r="DN15" s="44" t="str">
        <f ca="1">DE15</f>
        <v>G01 G41 X2.5 C-2.5 F129</v>
      </c>
      <c r="DO15" s="44" t="str">
        <f ca="1">DF15</f>
        <v>G01 G41 X2.323 C-2.323 F124</v>
      </c>
      <c r="DP15" s="44" t="str">
        <f ca="1">DG15</f>
        <v>G01 G41 X2.23 C-2.23 F122</v>
      </c>
      <c r="DQ15" s="49">
        <v>4</v>
      </c>
      <c r="DR15" s="18" t="s">
        <v>546</v>
      </c>
      <c r="DS15" s="18" t="s">
        <v>545</v>
      </c>
      <c r="DT15" s="18" t="str">
        <f>SUBSTITUTE(DT13,",",".")</f>
        <v>2.5</v>
      </c>
      <c r="DU15" s="18" t="str">
        <f>IF(DT13=DT14,". Y"," Y")</f>
        <v xml:space="preserve"> Y</v>
      </c>
      <c r="DV15" s="18" t="str">
        <f>SUBSTITUTE(DV13,",",".")</f>
        <v>2.5</v>
      </c>
      <c r="DW15" s="18" t="str">
        <f>IF(DV13=DV14,". Z"," Z")</f>
        <v xml:space="preserve"> Z</v>
      </c>
      <c r="DX15" s="18" t="str">
        <f>SUBSTITUTE(DX13,",",".")</f>
        <v>0.25</v>
      </c>
      <c r="DY15" s="18" t="str">
        <f>IF(DX13=DX14,". I"," I")</f>
        <v xml:space="preserve"> I</v>
      </c>
      <c r="DZ15" s="18">
        <v>0</v>
      </c>
      <c r="EA15" s="18" t="s">
        <v>550</v>
      </c>
      <c r="EB15" s="18" t="str">
        <f>SUBSTITUTE(EB13,",",".")</f>
        <v>2.5</v>
      </c>
      <c r="EC15" s="18" t="str">
        <f>IF(EB13=EB14,".","")</f>
        <v/>
      </c>
      <c r="ED15" s="49">
        <v>4</v>
      </c>
      <c r="EE15" s="18" t="s">
        <v>546</v>
      </c>
      <c r="EF15" s="18" t="s">
        <v>545</v>
      </c>
      <c r="EG15" s="18" t="str">
        <f>SUBSTITUTE(EG13,",",".")</f>
        <v>2.323</v>
      </c>
      <c r="EH15" s="18" t="str">
        <f>IF(EG13=EG14,". Y"," Y")</f>
        <v xml:space="preserve"> Y</v>
      </c>
      <c r="EI15" s="18" t="str">
        <f>SUBSTITUTE(EI13,",",".")</f>
        <v>2.323</v>
      </c>
      <c r="EJ15" s="18" t="str">
        <f>IF(EI13=EI14,". Z"," Z")</f>
        <v xml:space="preserve"> Z</v>
      </c>
      <c r="EK15" s="18" t="str">
        <f>SUBSTITUTE(EK13,",",".")</f>
        <v>0.25</v>
      </c>
      <c r="EL15" s="18" t="str">
        <f>IF(EK13=EK14,". I"," I")</f>
        <v xml:space="preserve"> I</v>
      </c>
      <c r="EM15" s="18">
        <v>0</v>
      </c>
      <c r="EN15" s="18" t="s">
        <v>550</v>
      </c>
      <c r="EO15" s="18" t="str">
        <f>SUBSTITUTE(EO13,",",".")</f>
        <v>2.323</v>
      </c>
      <c r="EP15" s="18" t="str">
        <f>IF(EO13=EO14,".","")</f>
        <v/>
      </c>
      <c r="EQ15" s="49">
        <v>4</v>
      </c>
      <c r="ER15" s="18" t="s">
        <v>546</v>
      </c>
      <c r="ES15" s="18" t="s">
        <v>545</v>
      </c>
      <c r="ET15" s="18" t="str">
        <f>SUBSTITUTE(ET13,",",".")</f>
        <v>2.23</v>
      </c>
      <c r="EU15" s="18" t="str">
        <f>IF(ET13=ET14,". Y"," Y")</f>
        <v xml:space="preserve"> Y</v>
      </c>
      <c r="EV15" s="18" t="str">
        <f>SUBSTITUTE(EV13,",",".")</f>
        <v>2.23</v>
      </c>
      <c r="EW15" s="18" t="str">
        <f>IF(EV13=EV14,". Z"," Z")</f>
        <v xml:space="preserve"> Z</v>
      </c>
      <c r="EX15" s="18" t="str">
        <f>SUBSTITUTE(EX13,",",".")</f>
        <v>0.25</v>
      </c>
      <c r="EY15" s="18" t="str">
        <f>IF(EX13=EX14,". I"," I")</f>
        <v xml:space="preserve"> I</v>
      </c>
      <c r="EZ15" s="18">
        <v>0</v>
      </c>
      <c r="FA15" s="18" t="s">
        <v>550</v>
      </c>
      <c r="FB15" s="18" t="str">
        <f>SUBSTITUTE(FB13,",",".")</f>
        <v>2.23</v>
      </c>
      <c r="FC15" s="18" t="str">
        <f>IF(FB13=FB14,".","")</f>
        <v/>
      </c>
      <c r="FD15" s="49">
        <v>4</v>
      </c>
      <c r="FE15" s="122" t="s">
        <v>717</v>
      </c>
      <c r="HF15" s="49">
        <v>4</v>
      </c>
      <c r="HG15" s="33" t="str">
        <f>IF(DU10=DU11,". C"," C")</f>
        <v xml:space="preserve"> C</v>
      </c>
      <c r="HH15" s="49">
        <v>4</v>
      </c>
      <c r="HI15" s="33" t="str">
        <f>IF(EH10=EH11,". C"," C")</f>
        <v xml:space="preserve"> C</v>
      </c>
      <c r="HJ15" s="49">
        <v>4</v>
      </c>
      <c r="HK15" s="33" t="str">
        <f>IF(EU10=EU11,". C"," C")</f>
        <v xml:space="preserve"> C</v>
      </c>
    </row>
    <row r="16" spans="1:223" ht="19.95" customHeight="1">
      <c r="A16" s="162"/>
      <c r="B16" s="160"/>
      <c r="C16" s="158"/>
      <c r="D16" s="158"/>
      <c r="E16" s="159"/>
      <c r="F16" s="143"/>
      <c r="G16" s="151"/>
      <c r="H16" s="151"/>
      <c r="I16" s="151"/>
      <c r="J16" s="156"/>
      <c r="K16" s="156"/>
      <c r="M16" s="5"/>
      <c r="N16" s="34"/>
      <c r="O16" s="65"/>
      <c r="AE16" s="76"/>
      <c r="AH16" s="95"/>
      <c r="AK16" s="4">
        <v>15</v>
      </c>
      <c r="AL16" s="4">
        <v>1</v>
      </c>
      <c r="AM16" s="4">
        <v>1</v>
      </c>
      <c r="AN16" s="4">
        <v>8</v>
      </c>
      <c r="AO16" s="197" t="s">
        <v>2117</v>
      </c>
      <c r="AP16" s="198">
        <v>299.60000000000002</v>
      </c>
      <c r="AQ16">
        <v>12</v>
      </c>
      <c r="AR16">
        <v>12</v>
      </c>
      <c r="AS16">
        <v>4</v>
      </c>
      <c r="AT16">
        <v>16</v>
      </c>
      <c r="AU16">
        <v>30.96</v>
      </c>
      <c r="AV16">
        <v>83</v>
      </c>
      <c r="AW16">
        <v>14.1</v>
      </c>
      <c r="AY16" s="38">
        <f t="shared" si="0"/>
        <v>15</v>
      </c>
      <c r="AZ16" s="25" t="b">
        <f t="shared" si="1"/>
        <v>0</v>
      </c>
      <c r="BA16" s="25">
        <f t="shared" si="2"/>
        <v>15</v>
      </c>
      <c r="BB16" s="25" t="b">
        <f t="shared" si="3"/>
        <v>0</v>
      </c>
      <c r="BC16" s="25" t="b">
        <f t="shared" si="4"/>
        <v>0</v>
      </c>
      <c r="BD16">
        <f t="shared" si="6"/>
        <v>97</v>
      </c>
      <c r="BE16" s="24">
        <f t="shared" si="9"/>
        <v>96</v>
      </c>
      <c r="BF16" t="str">
        <f t="shared" si="5"/>
        <v>NBT1010C31_2.0ISO_AC</v>
      </c>
      <c r="BG16" t="b">
        <f t="shared" si="7"/>
        <v>0</v>
      </c>
      <c r="BH16" t="str">
        <f t="shared" si="10"/>
        <v>NBT1010C31_2.0ISO_AC</v>
      </c>
      <c r="BI16" s="25">
        <v>14</v>
      </c>
      <c r="BJ16" s="6">
        <v>103</v>
      </c>
      <c r="BK16" s="8">
        <v>0.9</v>
      </c>
      <c r="BM16" s="10"/>
      <c r="BN16" s="11"/>
      <c r="BP16" s="14">
        <f t="shared" si="11"/>
        <v>7.6965913132584056</v>
      </c>
      <c r="BQ16" s="11">
        <f t="shared" si="12"/>
        <v>3.4522712143931031E-2</v>
      </c>
      <c r="BW16" s="25">
        <v>7</v>
      </c>
      <c r="BX16" s="35">
        <f>BX15+BX7</f>
        <v>181.001</v>
      </c>
      <c r="CA16" s="33">
        <v>10112</v>
      </c>
      <c r="CB16" s="33">
        <f t="shared" ref="CB16:CB31" ca="1" si="23">(IF(CB$13=CA16,CB$13,0))</f>
        <v>0</v>
      </c>
      <c r="CD16" s="39"/>
      <c r="CE16" s="45"/>
      <c r="CF16" s="45"/>
      <c r="CR16" s="44"/>
      <c r="DQ16" s="49"/>
      <c r="DR16" s="18"/>
      <c r="DS16" s="18"/>
      <c r="DT16" s="18"/>
      <c r="DU16" s="18"/>
      <c r="DV16" s="18"/>
      <c r="DW16" s="18"/>
      <c r="DX16" s="11">
        <f>BT6</f>
        <v>2</v>
      </c>
      <c r="DY16" s="18"/>
      <c r="DZ16" s="18">
        <f>-(2*BX57)</f>
        <v>-5</v>
      </c>
      <c r="EA16" s="18"/>
      <c r="EB16" s="18"/>
      <c r="ED16" s="49"/>
      <c r="EE16" s="18"/>
      <c r="EF16" s="18"/>
      <c r="EG16" s="18"/>
      <c r="EH16" s="18"/>
      <c r="EI16" s="18"/>
      <c r="EJ16" s="18"/>
      <c r="EK16" s="11">
        <f>BT6</f>
        <v>2</v>
      </c>
      <c r="EL16" s="18"/>
      <c r="EM16" s="18">
        <f>-(2*BY62)</f>
        <v>-4.6459999999999999</v>
      </c>
      <c r="EN16" s="18"/>
      <c r="EO16" s="18"/>
      <c r="EP16" s="25"/>
      <c r="EQ16" s="49"/>
      <c r="ER16" s="18"/>
      <c r="ES16" s="18"/>
      <c r="ET16" s="18"/>
      <c r="EU16" s="18"/>
      <c r="EV16" s="18"/>
      <c r="EW16" s="18"/>
      <c r="EX16" s="11">
        <f>BT6</f>
        <v>2</v>
      </c>
      <c r="EY16" s="18"/>
      <c r="EZ16" s="18">
        <f>-(2*BY68)</f>
        <v>-4.46</v>
      </c>
      <c r="FA16" s="18"/>
      <c r="FB16" s="18"/>
      <c r="FC16" s="25"/>
      <c r="FD16" s="49"/>
      <c r="FV16" s="33">
        <f>-(2*BX57)</f>
        <v>-5</v>
      </c>
      <c r="FX16" s="33">
        <f>ROUND(2*BX57+(TAN(1.783*PI()/180)*BT6/4),3)</f>
        <v>5.016</v>
      </c>
      <c r="FZ16" s="33">
        <f>ROUND(BT6/4,3)</f>
        <v>0.5</v>
      </c>
      <c r="GB16" s="33">
        <f>-(2*BX57)</f>
        <v>-5</v>
      </c>
      <c r="GD16" s="33">
        <f>ROUND(TAN(1.783*PI()/180)*BT6/4,3)</f>
        <v>1.6E-2</v>
      </c>
      <c r="GI16" s="33">
        <f>-(2*BY62)</f>
        <v>-4.6459999999999999</v>
      </c>
      <c r="GK16" s="33">
        <f>ROUND(2*BY62+(TAN(1.783*PI()/180)*BT6/4),3)</f>
        <v>4.6619999999999999</v>
      </c>
      <c r="GM16" s="33">
        <f>ROUND(BT6/4,3)</f>
        <v>0.5</v>
      </c>
      <c r="GO16" s="33">
        <f>-(2*BY62)</f>
        <v>-4.6459999999999999</v>
      </c>
      <c r="GQ16" s="33">
        <f>ROUND(TAN(1.783*PI()/180)*BT6/4,3)</f>
        <v>1.6E-2</v>
      </c>
      <c r="GV16" s="33">
        <f>-(2*BY68)</f>
        <v>-4.46</v>
      </c>
      <c r="GX16" s="33">
        <f>ROUND(2*BY68+(TAN(1.783*PI()/180)*BT6/4),3)</f>
        <v>4.476</v>
      </c>
      <c r="GZ16" s="33">
        <f>ROUND(BT6/4,3)</f>
        <v>0.5</v>
      </c>
      <c r="HB16" s="33">
        <f>-(2*BY68)</f>
        <v>-4.46</v>
      </c>
      <c r="HD16" s="33">
        <f>ROUND(TAN(1.783*PI()/180)*BT6/4,3)</f>
        <v>1.6E-2</v>
      </c>
    </row>
    <row r="17" spans="1:224" ht="19.95" customHeight="1">
      <c r="A17" s="163"/>
      <c r="B17" s="158"/>
      <c r="C17" s="158"/>
      <c r="D17" s="158"/>
      <c r="E17" s="159"/>
      <c r="F17" s="143"/>
      <c r="G17" s="151"/>
      <c r="H17" s="151"/>
      <c r="I17" s="151"/>
      <c r="J17" s="151"/>
      <c r="K17" s="151"/>
      <c r="L17" s="25">
        <v>1</v>
      </c>
      <c r="M17" s="5" t="str">
        <f t="shared" si="8"/>
        <v>M - Metrikus</v>
      </c>
      <c r="N17" s="34" t="s">
        <v>1849</v>
      </c>
      <c r="O17" s="65" t="s">
        <v>990</v>
      </c>
      <c r="P17" s="34" t="s">
        <v>583</v>
      </c>
      <c r="Q17" s="34" t="s">
        <v>1164</v>
      </c>
      <c r="R17" s="34" t="s">
        <v>1024</v>
      </c>
      <c r="S17" s="34" t="s">
        <v>961</v>
      </c>
      <c r="T17" t="s">
        <v>1661</v>
      </c>
      <c r="U17" s="34" t="s">
        <v>388</v>
      </c>
      <c r="V17" s="34" t="s">
        <v>136</v>
      </c>
      <c r="W17" s="34" t="s">
        <v>1722</v>
      </c>
      <c r="X17" s="34" t="s">
        <v>583</v>
      </c>
      <c r="Y17" s="34" t="s">
        <v>666</v>
      </c>
      <c r="Z17" s="34" t="s">
        <v>1624</v>
      </c>
      <c r="AA17" s="34" t="s">
        <v>1457</v>
      </c>
      <c r="AB17" s="34" t="s">
        <v>1024</v>
      </c>
      <c r="AC17" s="34" t="s">
        <v>1617</v>
      </c>
      <c r="AD17" s="34" t="s">
        <v>666</v>
      </c>
      <c r="AE17" s="76" t="s">
        <v>1439</v>
      </c>
      <c r="AF17" s="90" t="s">
        <v>1568</v>
      </c>
      <c r="AG17" s="81" t="s">
        <v>384</v>
      </c>
      <c r="AH17" s="95" t="s">
        <v>185</v>
      </c>
      <c r="AI17" s="34" t="s">
        <v>268</v>
      </c>
      <c r="AK17" s="4">
        <v>16</v>
      </c>
      <c r="AL17" s="4">
        <v>1</v>
      </c>
      <c r="AM17" s="4">
        <v>1</v>
      </c>
      <c r="AN17" s="4">
        <v>3</v>
      </c>
      <c r="AO17" s="197" t="s">
        <v>2118</v>
      </c>
      <c r="AP17" s="198">
        <v>299.60000000000002</v>
      </c>
      <c r="AQ17">
        <v>12</v>
      </c>
      <c r="AR17">
        <v>12</v>
      </c>
      <c r="AS17">
        <v>4</v>
      </c>
      <c r="AT17">
        <v>14</v>
      </c>
      <c r="AU17">
        <v>28.12</v>
      </c>
      <c r="AV17">
        <v>83</v>
      </c>
      <c r="AW17">
        <v>15.5</v>
      </c>
      <c r="AY17" s="38">
        <f t="shared" si="0"/>
        <v>16</v>
      </c>
      <c r="AZ17" s="25" t="b">
        <f t="shared" si="1"/>
        <v>0</v>
      </c>
      <c r="BA17" s="25">
        <f t="shared" si="2"/>
        <v>16</v>
      </c>
      <c r="BB17" s="25" t="b">
        <f t="shared" si="3"/>
        <v>0</v>
      </c>
      <c r="BC17" s="25" t="b">
        <f t="shared" si="4"/>
        <v>0</v>
      </c>
      <c r="BD17">
        <f t="shared" si="6"/>
        <v>95</v>
      </c>
      <c r="BE17" s="24">
        <f t="shared" si="9"/>
        <v>94</v>
      </c>
      <c r="BF17" t="str">
        <f t="shared" si="5"/>
        <v>NBT1212D35_2.0ISO_AC</v>
      </c>
      <c r="BG17" t="b">
        <f t="shared" si="7"/>
        <v>0</v>
      </c>
      <c r="BH17" t="str">
        <f t="shared" ref="BH17:BH25" si="24">IF(BG17=FALSE,BF17,"")</f>
        <v>NBT1212D35_2.0ISO_AC</v>
      </c>
      <c r="BI17" s="25">
        <v>15</v>
      </c>
      <c r="BJ17" s="6">
        <v>90</v>
      </c>
      <c r="BK17" s="8">
        <v>0.8</v>
      </c>
      <c r="BM17" s="10"/>
      <c r="BN17" s="11"/>
      <c r="BP17" s="14">
        <f t="shared" si="11"/>
        <v>8.5432163577168314</v>
      </c>
      <c r="BQ17" s="11">
        <f t="shared" si="12"/>
        <v>3.7974983358324138E-2</v>
      </c>
      <c r="BS17" s="10"/>
      <c r="BT17" s="10">
        <f ca="1">278*C10/C29</f>
        <v>21.550387596899224</v>
      </c>
      <c r="BW17" s="25">
        <v>8</v>
      </c>
      <c r="BX17" s="35">
        <f>BX16+BX7</f>
        <v>211.001</v>
      </c>
      <c r="CA17" s="33">
        <v>10121</v>
      </c>
      <c r="CB17" s="33">
        <f t="shared" ca="1" si="23"/>
        <v>0</v>
      </c>
      <c r="CD17" s="39"/>
      <c r="CE17" s="45"/>
      <c r="CF17" s="45"/>
      <c r="CR17" s="44"/>
      <c r="DX17" s="25">
        <f>INT(DX16)</f>
        <v>2</v>
      </c>
      <c r="DZ17" s="25">
        <f>INT(DZ16)</f>
        <v>-5</v>
      </c>
      <c r="ED17" s="46"/>
      <c r="EE17"/>
      <c r="EF17"/>
      <c r="EG17"/>
      <c r="EH17"/>
      <c r="EI17"/>
      <c r="EJ17"/>
      <c r="EK17" s="25">
        <f>INT(EK16)</f>
        <v>2</v>
      </c>
      <c r="EL17"/>
      <c r="EM17" s="25">
        <f>INT(EM16)</f>
        <v>-5</v>
      </c>
      <c r="EN17"/>
      <c r="EO17"/>
      <c r="EP17" s="25"/>
      <c r="EX17" s="25">
        <f>INT(EX16)</f>
        <v>2</v>
      </c>
      <c r="EZ17" s="25">
        <f>INT(EZ16)</f>
        <v>-5</v>
      </c>
      <c r="FC17" s="25"/>
      <c r="FV17" s="25">
        <f>INT(FV16)</f>
        <v>-5</v>
      </c>
      <c r="FX17" s="25">
        <f>INT(FX16)</f>
        <v>5</v>
      </c>
      <c r="FZ17" s="25">
        <f>INT(FZ16)</f>
        <v>0</v>
      </c>
      <c r="GB17" s="25">
        <f>INT(GB16)</f>
        <v>-5</v>
      </c>
      <c r="GD17" s="25">
        <f>INT(GD16)</f>
        <v>0</v>
      </c>
      <c r="GI17" s="25">
        <f>INT(GI16)</f>
        <v>-5</v>
      </c>
      <c r="GK17" s="25">
        <f>INT(GK16)</f>
        <v>4</v>
      </c>
      <c r="GM17" s="25">
        <f>INT(GM16)</f>
        <v>0</v>
      </c>
      <c r="GO17" s="25">
        <f>INT(GO16)</f>
        <v>-5</v>
      </c>
      <c r="GQ17" s="25">
        <f>INT(GQ16)</f>
        <v>0</v>
      </c>
      <c r="GV17" s="25">
        <f>INT(GV16)</f>
        <v>-5</v>
      </c>
      <c r="GX17" s="25">
        <f>INT(GX16)</f>
        <v>4</v>
      </c>
      <c r="GZ17" s="25">
        <f>INT(GZ16)</f>
        <v>0</v>
      </c>
      <c r="HB17" s="25">
        <f>INT(HB16)</f>
        <v>-5</v>
      </c>
      <c r="HD17" s="25">
        <f>INT(HD16)</f>
        <v>0</v>
      </c>
    </row>
    <row r="18" spans="1:224" ht="19.95" customHeight="1">
      <c r="A18" s="144"/>
      <c r="B18" s="143"/>
      <c r="C18" s="158"/>
      <c r="D18" s="158"/>
      <c r="E18" s="159"/>
      <c r="F18" s="143"/>
      <c r="G18" s="151"/>
      <c r="H18" s="151"/>
      <c r="I18" s="151"/>
      <c r="J18" s="145"/>
      <c r="K18" s="145"/>
      <c r="L18" s="25">
        <v>2</v>
      </c>
      <c r="M18" s="5" t="str">
        <f t="shared" si="8"/>
        <v>UN - Amerikai menet</v>
      </c>
      <c r="N18" s="34" t="s">
        <v>1850</v>
      </c>
      <c r="O18" s="65" t="s">
        <v>628</v>
      </c>
      <c r="P18" s="34" t="s">
        <v>628</v>
      </c>
      <c r="Q18" s="34" t="s">
        <v>1233</v>
      </c>
      <c r="R18" s="34" t="s">
        <v>628</v>
      </c>
      <c r="S18" s="34" t="s">
        <v>628</v>
      </c>
      <c r="T18" s="34" t="s">
        <v>628</v>
      </c>
      <c r="U18" s="34" t="s">
        <v>389</v>
      </c>
      <c r="V18" s="34" t="s">
        <v>137</v>
      </c>
      <c r="W18" s="34" t="s">
        <v>1723</v>
      </c>
      <c r="X18" s="34" t="s">
        <v>628</v>
      </c>
      <c r="Y18" s="34" t="s">
        <v>628</v>
      </c>
      <c r="Z18" s="34" t="s">
        <v>1625</v>
      </c>
      <c r="AA18" s="34" t="s">
        <v>628</v>
      </c>
      <c r="AB18" s="34" t="s">
        <v>580</v>
      </c>
      <c r="AC18" s="34" t="s">
        <v>1618</v>
      </c>
      <c r="AD18" s="34" t="s">
        <v>628</v>
      </c>
      <c r="AE18" s="76" t="s">
        <v>1510</v>
      </c>
      <c r="AF18" s="90" t="s">
        <v>1569</v>
      </c>
      <c r="AG18" s="81" t="s">
        <v>385</v>
      </c>
      <c r="AH18" s="95" t="s">
        <v>186</v>
      </c>
      <c r="AI18" s="34" t="s">
        <v>269</v>
      </c>
      <c r="AK18" s="4">
        <v>17</v>
      </c>
      <c r="AL18" s="4">
        <v>2</v>
      </c>
      <c r="AM18" s="4">
        <v>4</v>
      </c>
      <c r="AN18" s="4">
        <v>6</v>
      </c>
      <c r="AO18" s="197" t="s">
        <v>2119</v>
      </c>
      <c r="AP18" s="198">
        <v>299.60000000000002</v>
      </c>
      <c r="AQ18">
        <v>12</v>
      </c>
      <c r="AR18">
        <v>12</v>
      </c>
      <c r="AS18">
        <v>4</v>
      </c>
      <c r="AT18">
        <v>14</v>
      </c>
      <c r="AU18">
        <v>22.68</v>
      </c>
      <c r="AV18">
        <v>83</v>
      </c>
      <c r="AW18">
        <v>15.2</v>
      </c>
      <c r="AY18" s="38">
        <f t="shared" si="0"/>
        <v>17</v>
      </c>
      <c r="AZ18" s="25" t="b">
        <f t="shared" si="1"/>
        <v>0</v>
      </c>
      <c r="BA18" s="25" t="b">
        <f t="shared" si="2"/>
        <v>0</v>
      </c>
      <c r="BB18" s="25" t="b">
        <f t="shared" si="3"/>
        <v>0</v>
      </c>
      <c r="BC18" s="25" t="b">
        <f t="shared" si="4"/>
        <v>0</v>
      </c>
      <c r="BD18">
        <f t="shared" si="6"/>
        <v>94</v>
      </c>
      <c r="BE18" s="24">
        <f t="shared" si="9"/>
        <v>93</v>
      </c>
      <c r="BF18" t="str">
        <f t="shared" si="5"/>
        <v>NBT1616E39_2.0ISO_AC</v>
      </c>
      <c r="BG18" t="b">
        <f t="shared" si="7"/>
        <v>0</v>
      </c>
      <c r="BH18" t="str">
        <f t="shared" si="24"/>
        <v>NBT1616E39_2.0ISO_AC</v>
      </c>
      <c r="BI18" s="25">
        <v>16</v>
      </c>
      <c r="BJ18" s="6">
        <v>63</v>
      </c>
      <c r="BK18" s="8">
        <v>0.8</v>
      </c>
      <c r="BM18" s="10"/>
      <c r="BN18" s="11"/>
      <c r="BP18" s="14">
        <f t="shared" si="11"/>
        <v>9.482970157065683</v>
      </c>
      <c r="BQ18" s="11">
        <f t="shared" si="12"/>
        <v>4.1772481694156552E-2</v>
      </c>
      <c r="BS18" s="10"/>
      <c r="BT18" s="10">
        <f ca="1">ROUND(BT17,1)</f>
        <v>21.6</v>
      </c>
      <c r="BW18" s="25">
        <v>9</v>
      </c>
      <c r="BX18" s="35">
        <f>BX17+BX7</f>
        <v>241.001</v>
      </c>
      <c r="CA18" s="33">
        <v>10122</v>
      </c>
      <c r="CB18" s="33">
        <f t="shared" ca="1" si="23"/>
        <v>0</v>
      </c>
      <c r="CD18" s="39">
        <v>5</v>
      </c>
      <c r="CE18" s="45" t="str">
        <f ca="1">LOOKUP(CB$54,CF$5:DP$5,CF18:DP18)</f>
        <v>G03 X0. Y0. Z2. I-4.646 J0.</v>
      </c>
      <c r="CF18" s="45"/>
      <c r="CG18" s="44" t="str">
        <f>CONCATENATE(DR18,DS18,DT18,DU18,DV18,DW18,DX18,DY18,DZ18,EA18,EB18,EC18)</f>
        <v>G03 X0. Y0. Z2. I-5. J0.</v>
      </c>
      <c r="CH18" s="44" t="str">
        <f>CONCATENATE(CD18,DR85,DS85)</f>
        <v>5 CC IX+0 IY+2.5</v>
      </c>
      <c r="CI18" s="44" t="str">
        <f>CONCATENATE(EE18,EF18,EG18,EH18,EI18,EJ18,EK18,EL18,EM18,EN18,EO18,EP18)</f>
        <v>G03 X0. Y0. Z2. I-4.646 J0.</v>
      </c>
      <c r="CJ18" s="44" t="str">
        <f>CONCATENATE(CD18,EE85,EF85)</f>
        <v>5 CC IX+0 IY+2.323</v>
      </c>
      <c r="CK18" s="44" t="str">
        <f>CONCATENATE(ER18,ES18,ET18,EU18,EV18,EW18,EX18,EY18,EZ18,FA18,FB18,FC18)</f>
        <v>G03 X0. Y0. Z2. I-4.46 J0.</v>
      </c>
      <c r="CL18" s="44" t="str">
        <f>CONCATENATE(CD18,ER85,ES85)</f>
        <v>5 CC IX+0 IY+2.23</v>
      </c>
      <c r="CM18" s="44" t="str">
        <f>FE18</f>
        <v>WHILE[#2LT#1]DO1</v>
      </c>
      <c r="CN18" s="44" t="str">
        <f>CONCATENATE(CD18,FE85)</f>
        <v>5 FN 0: Q2 =+0</v>
      </c>
      <c r="CO18" s="44" t="str">
        <f>CM18</f>
        <v>WHILE[#2LT#1]DO1</v>
      </c>
      <c r="CP18" s="44" t="str">
        <f>CN18</f>
        <v>5 FN 0: Q2 =+0</v>
      </c>
      <c r="CQ18" s="4" t="str">
        <f>CM18</f>
        <v>WHILE[#2LT#1]DO1</v>
      </c>
      <c r="CR18" s="4" t="str">
        <f>CN18</f>
        <v>5 FN 0: Q2 =+0</v>
      </c>
      <c r="CS18" s="4" t="str">
        <f>CONCATENATE(FJ18,FK18)</f>
        <v>#1=13</v>
      </c>
      <c r="CT18" s="44" t="str">
        <f>CH18</f>
        <v>5 CC IX+0 IY+2.5</v>
      </c>
      <c r="CU18" s="44" t="str">
        <f>CS18</f>
        <v>#1=13</v>
      </c>
      <c r="CV18" s="44" t="str">
        <f>CJ18</f>
        <v>5 CC IX+0 IY+2.323</v>
      </c>
      <c r="CW18" s="44" t="str">
        <f>CU18</f>
        <v>#1=13</v>
      </c>
      <c r="CX18" s="127" t="str">
        <f>CL18</f>
        <v>5 CC IX+0 IY+2.23</v>
      </c>
      <c r="CY18" s="44" t="str">
        <f>CONCATENATE(FT18,FU18,FV18,FW18,FX18,FY18,FZ18,GA18,GB18,GC18,GD18,GE18)</f>
        <v>G03 X-5. Y5.016 Z0.5 I-5. J0.016</v>
      </c>
      <c r="CZ18" s="127" t="str">
        <f>CH18</f>
        <v>5 CC IX+0 IY+2.5</v>
      </c>
      <c r="DA18" s="44" t="str">
        <f>CONCATENATE(GG18,GH18,GI18,GJ18,GK18,GL18,GM18,GN18,GO18,GP18,GQ18,GR18)</f>
        <v>G03 X-4.646 Y4.662 Z0.5 I-4.646 J0.016</v>
      </c>
      <c r="DB18" s="127" t="str">
        <f>CJ18</f>
        <v>5 CC IX+0 IY+2.323</v>
      </c>
      <c r="DC18" s="44" t="str">
        <f>CONCATENATE(GT18,GU18,GV18,GW18,GX18,GY18,GZ18,HA18,HB18,HC18,HD18,HE18)</f>
        <v>G03 X-4.46 Y4.476 Z0.5 I-4.46 J0.016</v>
      </c>
      <c r="DD18" s="127" t="str">
        <f>CL18</f>
        <v>5 CC IX+0 IY+2.23</v>
      </c>
      <c r="DE18" s="44" t="str">
        <f>CONCATENATE(DR15,DS15,DT15,HG15,DV15,DW15,DX15,DY15,DZ15,EA15,EB15,EC15)</f>
        <v>G03 X2.5 C2.5 Z0.25 I0. J2.5</v>
      </c>
      <c r="DF18" s="44" t="str">
        <f>CONCATENATE(EE15,EF15,EG15,HI15,EI15,EJ15,EK15,EL15,EM15,EN15,EO15,EP15)</f>
        <v>G03 X2.323 C2.323 Z0.25 I0. J2.323</v>
      </c>
      <c r="DG18" s="44" t="str">
        <f>CONCATENATE(ER15,ES15,ET15,HK15,EV15,EW15,EX15,EY15,EZ15,FA15,FB15,FC15)</f>
        <v>G03 X2.23 C2.23 Z0.25 I0. J2.23</v>
      </c>
      <c r="DH18" s="44" t="str">
        <f>CM15</f>
        <v>#2=0</v>
      </c>
      <c r="DI18" s="44" t="str">
        <f>DH18</f>
        <v>#2=0</v>
      </c>
      <c r="DJ18" s="44" t="str">
        <f>DH18</f>
        <v>#2=0</v>
      </c>
      <c r="DK18" s="44" t="str">
        <f>DE18</f>
        <v>G03 X2.5 C2.5 Z0.25 I0. J2.5</v>
      </c>
      <c r="DL18" s="44" t="str">
        <f>DF18</f>
        <v>G03 X2.323 C2.323 Z0.25 I0. J2.323</v>
      </c>
      <c r="DM18" s="44" t="str">
        <f>DG18</f>
        <v>G03 X2.23 C2.23 Z0.25 I0. J2.23</v>
      </c>
      <c r="DN18" s="44" t="str">
        <f>DE18</f>
        <v>G03 X2.5 C2.5 Z0.25 I0. J2.5</v>
      </c>
      <c r="DO18" s="44" t="str">
        <f>DF18</f>
        <v>G03 X2.323 C2.323 Z0.25 I0. J2.323</v>
      </c>
      <c r="DP18" s="44" t="str">
        <f>DG18</f>
        <v>G03 X2.23 C2.23 Z0.25 I0. J2.23</v>
      </c>
      <c r="DQ18" s="49">
        <v>5</v>
      </c>
      <c r="DR18" s="18" t="s">
        <v>546</v>
      </c>
      <c r="DS18" s="18" t="s">
        <v>545</v>
      </c>
      <c r="DT18" s="18">
        <v>0</v>
      </c>
      <c r="DU18" s="18" t="s">
        <v>551</v>
      </c>
      <c r="DV18" s="18">
        <v>0</v>
      </c>
      <c r="DW18" s="18" t="s">
        <v>552</v>
      </c>
      <c r="DX18" s="18" t="str">
        <f>SUBSTITUTE(DX16,",",".")</f>
        <v>2</v>
      </c>
      <c r="DY18" s="18" t="str">
        <f>IF(DX16=DX17,". I"," I")</f>
        <v>. I</v>
      </c>
      <c r="DZ18" s="18" t="str">
        <f>SUBSTITUTE(DZ16,",",".")</f>
        <v>-5</v>
      </c>
      <c r="EA18" s="18" t="str">
        <f>IF(DZ16=DZ17,". J"," J")</f>
        <v>. J</v>
      </c>
      <c r="EB18" s="18">
        <v>0</v>
      </c>
      <c r="EC18" s="25" t="s">
        <v>1022</v>
      </c>
      <c r="ED18" s="49">
        <v>5</v>
      </c>
      <c r="EE18" s="18" t="s">
        <v>546</v>
      </c>
      <c r="EF18" s="18" t="s">
        <v>545</v>
      </c>
      <c r="EG18" s="18">
        <v>0</v>
      </c>
      <c r="EH18" s="18" t="s">
        <v>551</v>
      </c>
      <c r="EI18" s="18">
        <v>0</v>
      </c>
      <c r="EJ18" s="18" t="s">
        <v>552</v>
      </c>
      <c r="EK18" s="18" t="str">
        <f>SUBSTITUTE(EK16,",",".")</f>
        <v>2</v>
      </c>
      <c r="EL18" s="18" t="str">
        <f>IF(EK16=EK17,". I"," I")</f>
        <v>. I</v>
      </c>
      <c r="EM18" s="18" t="str">
        <f>SUBSTITUTE(EM16,",",".")</f>
        <v>-4.646</v>
      </c>
      <c r="EN18" s="18" t="str">
        <f>IF(EM16=EM17,". J"," J")</f>
        <v xml:space="preserve"> J</v>
      </c>
      <c r="EO18" s="18">
        <v>0</v>
      </c>
      <c r="EP18" s="25" t="s">
        <v>1022</v>
      </c>
      <c r="EQ18" s="49">
        <v>5</v>
      </c>
      <c r="ER18" s="18" t="s">
        <v>546</v>
      </c>
      <c r="ES18" s="18" t="s">
        <v>545</v>
      </c>
      <c r="ET18" s="18">
        <v>0</v>
      </c>
      <c r="EU18" s="18" t="s">
        <v>551</v>
      </c>
      <c r="EV18" s="18">
        <v>0</v>
      </c>
      <c r="EW18" s="18" t="s">
        <v>552</v>
      </c>
      <c r="EX18" s="18" t="str">
        <f>SUBSTITUTE(EX16,",",".")</f>
        <v>2</v>
      </c>
      <c r="EY18" s="18" t="str">
        <f>IF(EX16=EX17,". I"," I")</f>
        <v>. I</v>
      </c>
      <c r="EZ18" s="18" t="str">
        <f>SUBSTITUTE(EZ16,",",".")</f>
        <v>-4.46</v>
      </c>
      <c r="FA18" s="18" t="str">
        <f>IF(EZ16=EZ17,". J"," J")</f>
        <v xml:space="preserve"> J</v>
      </c>
      <c r="FB18" s="18">
        <v>0</v>
      </c>
      <c r="FC18" s="25" t="s">
        <v>1022</v>
      </c>
      <c r="FD18" s="49">
        <v>5</v>
      </c>
      <c r="FE18" s="126" t="s">
        <v>835</v>
      </c>
      <c r="FI18" s="49">
        <v>5</v>
      </c>
      <c r="FJ18" s="18" t="s">
        <v>716</v>
      </c>
      <c r="FK18" s="33">
        <f>BX48</f>
        <v>13</v>
      </c>
      <c r="FS18" s="49">
        <v>5</v>
      </c>
      <c r="FT18" s="33" t="s">
        <v>546</v>
      </c>
      <c r="FU18" s="33" t="s">
        <v>545</v>
      </c>
      <c r="FV18" s="18" t="str">
        <f>SUBSTITUTE(FV16,",",".")</f>
        <v>-5</v>
      </c>
      <c r="FW18" s="18" t="str">
        <f>IF(FV16=FV17,". Y"," Y")</f>
        <v>. Y</v>
      </c>
      <c r="FX18" s="18" t="str">
        <f>SUBSTITUTE(FX16,",",".")</f>
        <v>5.016</v>
      </c>
      <c r="FY18" s="18" t="str">
        <f>IF(FX16=FX17,". Z"," Z")</f>
        <v xml:space="preserve"> Z</v>
      </c>
      <c r="FZ18" s="18" t="str">
        <f>SUBSTITUTE(FZ16,",",".")</f>
        <v>0.5</v>
      </c>
      <c r="GA18" s="18" t="str">
        <f>IF(FZ16=FZ17,". I"," I")</f>
        <v xml:space="preserve"> I</v>
      </c>
      <c r="GB18" s="18" t="str">
        <f>SUBSTITUTE(GB16,",",".")</f>
        <v>-5</v>
      </c>
      <c r="GC18" s="18" t="str">
        <f>IF(GB16=GB17,". J"," J")</f>
        <v>. J</v>
      </c>
      <c r="GD18" s="18" t="str">
        <f>SUBSTITUTE(GD16,",",".")</f>
        <v>0.016</v>
      </c>
      <c r="GE18" s="18" t="str">
        <f>IF(GD16=GD17,".","")</f>
        <v/>
      </c>
      <c r="GF18" s="49">
        <v>5</v>
      </c>
      <c r="GG18" s="33" t="s">
        <v>546</v>
      </c>
      <c r="GH18" s="33" t="s">
        <v>545</v>
      </c>
      <c r="GI18" s="18" t="str">
        <f>SUBSTITUTE(GI16,",",".")</f>
        <v>-4.646</v>
      </c>
      <c r="GJ18" s="18" t="str">
        <f>IF(GI16=GI17,". Y"," Y")</f>
        <v xml:space="preserve"> Y</v>
      </c>
      <c r="GK18" s="18" t="str">
        <f>SUBSTITUTE(GK16,",",".")</f>
        <v>4.662</v>
      </c>
      <c r="GL18" s="18" t="str">
        <f>IF(GK16=GK17,". Z"," Z")</f>
        <v xml:space="preserve"> Z</v>
      </c>
      <c r="GM18" s="18" t="str">
        <f>SUBSTITUTE(GM16,",",".")</f>
        <v>0.5</v>
      </c>
      <c r="GN18" s="18" t="str">
        <f>IF(GM16=GM17,". I"," I")</f>
        <v xml:space="preserve"> I</v>
      </c>
      <c r="GO18" s="18" t="str">
        <f>SUBSTITUTE(GO16,",",".")</f>
        <v>-4.646</v>
      </c>
      <c r="GP18" s="18" t="str">
        <f>IF(GO16=GO17,". J"," J")</f>
        <v xml:space="preserve"> J</v>
      </c>
      <c r="GQ18" s="18" t="str">
        <f>SUBSTITUTE(GQ16,",",".")</f>
        <v>0.016</v>
      </c>
      <c r="GR18" s="18" t="str">
        <f>IF(GQ16=GQ17,".","")</f>
        <v/>
      </c>
      <c r="GS18" s="49">
        <v>5</v>
      </c>
      <c r="GT18" s="33" t="s">
        <v>546</v>
      </c>
      <c r="GU18" s="33" t="s">
        <v>545</v>
      </c>
      <c r="GV18" s="18" t="str">
        <f>SUBSTITUTE(GV16,",",".")</f>
        <v>-4.46</v>
      </c>
      <c r="GW18" s="18" t="str">
        <f>IF(GV16=GV17,". Y"," Y")</f>
        <v xml:space="preserve"> Y</v>
      </c>
      <c r="GX18" s="18" t="str">
        <f>SUBSTITUTE(GX16,",",".")</f>
        <v>4.476</v>
      </c>
      <c r="GY18" s="18" t="str">
        <f>IF(GX16=GX17,". Z"," Z")</f>
        <v xml:space="preserve"> Z</v>
      </c>
      <c r="GZ18" s="18" t="str">
        <f>SUBSTITUTE(GZ16,",",".")</f>
        <v>0.5</v>
      </c>
      <c r="HA18" s="18" t="str">
        <f>IF(GZ16=GZ17,". I"," I")</f>
        <v xml:space="preserve"> I</v>
      </c>
      <c r="HB18" s="18" t="str">
        <f>SUBSTITUTE(HB16,",",".")</f>
        <v>-4.46</v>
      </c>
      <c r="HC18" s="18" t="str">
        <f>IF(HB16=HB17,". J"," J")</f>
        <v xml:space="preserve"> J</v>
      </c>
      <c r="HD18" s="18" t="str">
        <f>SUBSTITUTE(HD16,",",".")</f>
        <v>0.016</v>
      </c>
      <c r="HE18" s="18" t="str">
        <f>IF(HD16=HD17,".","")</f>
        <v/>
      </c>
      <c r="HP18" s="49"/>
    </row>
    <row r="19" spans="1:224" ht="19.95" customHeight="1">
      <c r="A19" s="144"/>
      <c r="B19" s="164" t="str">
        <f t="shared" ref="B19:B33" si="25">M66</f>
        <v>Szerszámköltség (€)</v>
      </c>
      <c r="C19" s="165">
        <f>LOOKUP(BM12,AK2:AK312,AP2:AP312)</f>
        <v>255</v>
      </c>
      <c r="D19" s="166"/>
      <c r="E19" s="192">
        <v>5</v>
      </c>
      <c r="F19" s="143"/>
      <c r="G19" s="168">
        <f>LOOKUP(BM112,AK2:AK312,AP2:AP312)</f>
        <v>516.9</v>
      </c>
      <c r="H19" s="166"/>
      <c r="I19" s="193">
        <v>5</v>
      </c>
      <c r="J19" s="145"/>
      <c r="K19" s="145"/>
      <c r="L19" s="25">
        <v>3</v>
      </c>
      <c r="M19" s="5" t="str">
        <f t="shared" si="8"/>
        <v>G - Whithworth csőmenet</v>
      </c>
      <c r="N19" s="34" t="s">
        <v>1851</v>
      </c>
      <c r="O19" s="65" t="s">
        <v>1428</v>
      </c>
      <c r="P19" s="34" t="s">
        <v>1429</v>
      </c>
      <c r="Q19" s="34" t="s">
        <v>1430</v>
      </c>
      <c r="R19" s="34" t="s">
        <v>1431</v>
      </c>
      <c r="S19" s="34" t="s">
        <v>1432</v>
      </c>
      <c r="T19" t="s">
        <v>1662</v>
      </c>
      <c r="U19" s="34" t="s">
        <v>390</v>
      </c>
      <c r="V19" s="34" t="s">
        <v>142</v>
      </c>
      <c r="W19" s="34" t="s">
        <v>1724</v>
      </c>
      <c r="X19" s="34" t="s">
        <v>1433</v>
      </c>
      <c r="Y19" s="34" t="s">
        <v>1440</v>
      </c>
      <c r="Z19" s="34" t="s">
        <v>1626</v>
      </c>
      <c r="AA19" s="34" t="s">
        <v>1434</v>
      </c>
      <c r="AB19" s="34" t="s">
        <v>1435</v>
      </c>
      <c r="AC19" s="34" t="s">
        <v>1616</v>
      </c>
      <c r="AD19" s="34" t="s">
        <v>1337</v>
      </c>
      <c r="AE19" s="76" t="s">
        <v>1511</v>
      </c>
      <c r="AF19" s="90" t="s">
        <v>1570</v>
      </c>
      <c r="AG19" s="81" t="s">
        <v>394</v>
      </c>
      <c r="AH19" s="95" t="s">
        <v>187</v>
      </c>
      <c r="AI19" s="34" t="s">
        <v>270</v>
      </c>
      <c r="AK19" s="4">
        <v>18</v>
      </c>
      <c r="AL19" s="4">
        <v>2</v>
      </c>
      <c r="AM19" s="4">
        <v>4</v>
      </c>
      <c r="AN19" s="4">
        <v>5</v>
      </c>
      <c r="AO19" s="197" t="s">
        <v>2120</v>
      </c>
      <c r="AP19" s="198">
        <v>299.60000000000002</v>
      </c>
      <c r="AQ19">
        <v>12</v>
      </c>
      <c r="AR19">
        <v>12</v>
      </c>
      <c r="AS19">
        <v>4</v>
      </c>
      <c r="AT19">
        <v>14</v>
      </c>
      <c r="AU19">
        <v>22.68</v>
      </c>
      <c r="AV19">
        <v>83</v>
      </c>
      <c r="AW19">
        <v>15.2</v>
      </c>
      <c r="AY19" s="38">
        <f t="shared" si="0"/>
        <v>18</v>
      </c>
      <c r="AZ19" s="25" t="b">
        <f t="shared" si="1"/>
        <v>0</v>
      </c>
      <c r="BA19" s="25" t="b">
        <f t="shared" si="2"/>
        <v>0</v>
      </c>
      <c r="BB19" s="25" t="b">
        <f t="shared" si="3"/>
        <v>0</v>
      </c>
      <c r="BC19" s="25" t="b">
        <f t="shared" si="4"/>
        <v>0</v>
      </c>
      <c r="BD19" t="e">
        <f t="shared" si="6"/>
        <v>#N/A</v>
      </c>
      <c r="BE19" s="24" t="e">
        <f t="shared" si="9"/>
        <v>#N/A</v>
      </c>
      <c r="BF19" t="e">
        <f t="shared" si="5"/>
        <v>#N/A</v>
      </c>
      <c r="BG19" t="b">
        <f t="shared" si="7"/>
        <v>1</v>
      </c>
      <c r="BH19" t="str">
        <f t="shared" si="24"/>
        <v/>
      </c>
      <c r="BI19" s="25">
        <v>17</v>
      </c>
      <c r="BJ19" s="6">
        <v>55</v>
      </c>
      <c r="BK19" s="8">
        <v>0.7</v>
      </c>
      <c r="BM19" s="10"/>
      <c r="BN19" s="11"/>
      <c r="BP19" s="14">
        <f t="shared" si="11"/>
        <v>10.52609687434291</v>
      </c>
      <c r="BQ19" s="11">
        <f t="shared" si="12"/>
        <v>4.5949729863572208E-2</v>
      </c>
      <c r="BS19" s="10"/>
      <c r="BT19" s="10">
        <f ca="1">ROUND(BT17,0)</f>
        <v>22</v>
      </c>
      <c r="BW19" s="25">
        <v>10</v>
      </c>
      <c r="BX19" s="35">
        <f>BX18+BX7</f>
        <v>271.00099999999998</v>
      </c>
      <c r="CA19" s="33">
        <v>10131</v>
      </c>
      <c r="CB19" s="33">
        <f t="shared" ca="1" si="23"/>
        <v>0</v>
      </c>
      <c r="CD19" s="39"/>
      <c r="CE19" s="45"/>
      <c r="CF19" s="45"/>
      <c r="CR19" s="44"/>
      <c r="DQ19" s="49"/>
      <c r="DR19" s="18"/>
      <c r="DS19" s="18"/>
      <c r="DT19" s="18">
        <f>-BX57</f>
        <v>-2.5</v>
      </c>
      <c r="DU19" s="18"/>
      <c r="DV19" s="18">
        <f>BX57</f>
        <v>2.5</v>
      </c>
      <c r="DW19" s="18"/>
      <c r="DX19" s="18">
        <f>ROUND(BT6/8,3)</f>
        <v>0.25</v>
      </c>
      <c r="DY19" s="18"/>
      <c r="DZ19" s="18">
        <f>-BX57</f>
        <v>-2.5</v>
      </c>
      <c r="EA19" s="18"/>
      <c r="EB19" s="18"/>
      <c r="ED19" s="49"/>
      <c r="EE19" s="18"/>
      <c r="EF19" s="18"/>
      <c r="EG19" s="18">
        <f>-BY62</f>
        <v>-2.323</v>
      </c>
      <c r="EH19" s="18"/>
      <c r="EI19" s="18">
        <f>BY62</f>
        <v>2.323</v>
      </c>
      <c r="EJ19" s="18"/>
      <c r="EK19" s="18">
        <f>ROUND(BT6/8,3)</f>
        <v>0.25</v>
      </c>
      <c r="EL19" s="18"/>
      <c r="EM19" s="18">
        <f>-BY62</f>
        <v>-2.323</v>
      </c>
      <c r="EN19" s="18"/>
      <c r="EO19" s="18"/>
      <c r="EP19" s="25"/>
      <c r="EQ19" s="49"/>
      <c r="ER19" s="18"/>
      <c r="ES19" s="18"/>
      <c r="ET19" s="18">
        <f>-BY68</f>
        <v>-2.23</v>
      </c>
      <c r="EU19" s="18"/>
      <c r="EV19" s="18">
        <f>BY68</f>
        <v>2.23</v>
      </c>
      <c r="EW19" s="18"/>
      <c r="EX19" s="18">
        <f>ROUND(BT6/8,3)</f>
        <v>0.25</v>
      </c>
      <c r="EY19" s="18"/>
      <c r="EZ19" s="18">
        <f>-BY68</f>
        <v>-2.23</v>
      </c>
      <c r="FA19" s="18"/>
      <c r="FB19" s="18"/>
      <c r="FC19" s="25"/>
      <c r="FD19" s="49"/>
      <c r="FV19" s="33">
        <f>-(FX16+GD16)</f>
        <v>-5.032</v>
      </c>
      <c r="FX19" s="33">
        <f>-FX16</f>
        <v>-5.016</v>
      </c>
      <c r="FZ19" s="33">
        <f>FZ16</f>
        <v>0.5</v>
      </c>
      <c r="GB19" s="33">
        <f>-GD16</f>
        <v>-1.6E-2</v>
      </c>
      <c r="GD19" s="33">
        <f>FX19</f>
        <v>-5.016</v>
      </c>
      <c r="GI19" s="33">
        <f>-(GK16+GQ16)</f>
        <v>-4.6779999999999999</v>
      </c>
      <c r="GK19" s="33">
        <f>-GK16</f>
        <v>-4.6619999999999999</v>
      </c>
      <c r="GM19" s="33">
        <f>GM16</f>
        <v>0.5</v>
      </c>
      <c r="GO19" s="33">
        <f>-GQ16</f>
        <v>-1.6E-2</v>
      </c>
      <c r="GQ19" s="33">
        <f>GK19</f>
        <v>-4.6619999999999999</v>
      </c>
      <c r="GV19" s="33">
        <f>-(GX16+HD16)</f>
        <v>-4.492</v>
      </c>
      <c r="GX19" s="33">
        <f>-GX16</f>
        <v>-4.476</v>
      </c>
      <c r="GZ19" s="33">
        <f>GZ16</f>
        <v>0.5</v>
      </c>
      <c r="HB19" s="33">
        <f>-HD16</f>
        <v>-1.6E-2</v>
      </c>
      <c r="HD19" s="33">
        <f>GX19</f>
        <v>-4.476</v>
      </c>
    </row>
    <row r="20" spans="1:224" ht="19.95" customHeight="1">
      <c r="A20" s="144"/>
      <c r="B20" s="164" t="str">
        <f t="shared" si="25"/>
        <v>Szerszám éltartam (perc)</v>
      </c>
      <c r="C20" s="169">
        <v>120</v>
      </c>
      <c r="D20" s="170"/>
      <c r="E20" s="192">
        <v>6</v>
      </c>
      <c r="F20" s="143"/>
      <c r="G20" s="171">
        <v>120</v>
      </c>
      <c r="H20" s="170"/>
      <c r="I20" s="193">
        <v>6</v>
      </c>
      <c r="J20" s="145"/>
      <c r="K20" s="145"/>
      <c r="L20" s="25">
        <v>4</v>
      </c>
      <c r="M20" s="5" t="str">
        <f t="shared" si="8"/>
        <v>BSPT - Kúpos menet</v>
      </c>
      <c r="N20" s="34" t="s">
        <v>1852</v>
      </c>
      <c r="O20" s="65" t="s">
        <v>991</v>
      </c>
      <c r="P20" s="34" t="s">
        <v>722</v>
      </c>
      <c r="Q20" s="34" t="s">
        <v>1234</v>
      </c>
      <c r="R20" s="34" t="s">
        <v>725</v>
      </c>
      <c r="S20" s="34" t="s">
        <v>723</v>
      </c>
      <c r="T20" t="s">
        <v>1663</v>
      </c>
      <c r="U20" s="34" t="s">
        <v>391</v>
      </c>
      <c r="V20" s="34" t="s">
        <v>138</v>
      </c>
      <c r="W20" s="34" t="s">
        <v>1725</v>
      </c>
      <c r="X20" s="34" t="s">
        <v>1211</v>
      </c>
      <c r="Y20" s="34" t="s">
        <v>1441</v>
      </c>
      <c r="Z20" s="34" t="s">
        <v>1627</v>
      </c>
      <c r="AA20" s="34" t="s">
        <v>1458</v>
      </c>
      <c r="AB20" s="34" t="s">
        <v>511</v>
      </c>
      <c r="AC20" s="34" t="s">
        <v>1619</v>
      </c>
      <c r="AD20" s="34" t="s">
        <v>557</v>
      </c>
      <c r="AE20" s="76" t="s">
        <v>1512</v>
      </c>
      <c r="AF20" s="90" t="s">
        <v>1571</v>
      </c>
      <c r="AG20" s="81" t="s">
        <v>467</v>
      </c>
      <c r="AH20" s="95" t="s">
        <v>188</v>
      </c>
      <c r="AI20" s="34" t="s">
        <v>271</v>
      </c>
      <c r="AK20" s="4">
        <v>19</v>
      </c>
      <c r="AL20" s="4">
        <v>1</v>
      </c>
      <c r="AM20" s="4">
        <v>1</v>
      </c>
      <c r="AN20" s="4">
        <v>7</v>
      </c>
      <c r="AO20" s="197" t="s">
        <v>2121</v>
      </c>
      <c r="AP20" s="198">
        <v>299.60000000000002</v>
      </c>
      <c r="AQ20">
        <v>12</v>
      </c>
      <c r="AR20">
        <v>12</v>
      </c>
      <c r="AS20">
        <v>4</v>
      </c>
      <c r="AT20">
        <v>14</v>
      </c>
      <c r="AU20">
        <v>22.68</v>
      </c>
      <c r="AV20">
        <v>83</v>
      </c>
      <c r="AW20">
        <v>15.2</v>
      </c>
      <c r="AY20" s="38">
        <f t="shared" si="0"/>
        <v>19</v>
      </c>
      <c r="AZ20" s="25" t="b">
        <f t="shared" si="1"/>
        <v>0</v>
      </c>
      <c r="BA20" s="25" t="b">
        <f t="shared" si="2"/>
        <v>0</v>
      </c>
      <c r="BB20" s="25" t="b">
        <f t="shared" si="3"/>
        <v>0</v>
      </c>
      <c r="BC20" s="25" t="b">
        <f t="shared" si="4"/>
        <v>0</v>
      </c>
      <c r="BD20" t="e">
        <f t="shared" si="6"/>
        <v>#N/A</v>
      </c>
      <c r="BE20" s="24" t="e">
        <f t="shared" si="9"/>
        <v>#N/A</v>
      </c>
      <c r="BF20" t="e">
        <f t="shared" si="5"/>
        <v>#N/A</v>
      </c>
      <c r="BG20" t="b">
        <f t="shared" si="7"/>
        <v>1</v>
      </c>
      <c r="BH20" t="str">
        <f t="shared" si="24"/>
        <v/>
      </c>
      <c r="BI20" s="25">
        <v>18</v>
      </c>
      <c r="BJ20" s="6">
        <v>35</v>
      </c>
      <c r="BK20" s="8">
        <v>0.6</v>
      </c>
      <c r="BM20" s="10"/>
      <c r="BN20" s="11"/>
      <c r="BP20" s="14">
        <f t="shared" si="11"/>
        <v>11.683967530520631</v>
      </c>
      <c r="BQ20" s="11">
        <f t="shared" si="12"/>
        <v>5.0544702849929436E-2</v>
      </c>
      <c r="BS20" s="10"/>
      <c r="BT20" s="33"/>
      <c r="BX20" s="35"/>
      <c r="CA20" s="33">
        <v>10132</v>
      </c>
      <c r="CB20" s="33">
        <f t="shared" ca="1" si="23"/>
        <v>0</v>
      </c>
      <c r="CD20" s="39"/>
      <c r="CE20" s="45"/>
      <c r="CF20" s="45"/>
      <c r="CR20" s="44"/>
      <c r="DT20" s="25">
        <f>INT(DT19)</f>
        <v>-3</v>
      </c>
      <c r="DV20" s="25">
        <f>INT(DV19)</f>
        <v>2</v>
      </c>
      <c r="DX20" s="25">
        <f>INT(DX19)</f>
        <v>0</v>
      </c>
      <c r="DZ20" s="25">
        <f>INT(DZ19)</f>
        <v>-3</v>
      </c>
      <c r="ED20" s="46"/>
      <c r="EE20"/>
      <c r="EF20"/>
      <c r="EG20" s="25">
        <f>INT(EG19)</f>
        <v>-3</v>
      </c>
      <c r="EH20"/>
      <c r="EI20" s="25">
        <f>INT(EI19)</f>
        <v>2</v>
      </c>
      <c r="EJ20"/>
      <c r="EK20" s="25">
        <f>INT(EK19)</f>
        <v>0</v>
      </c>
      <c r="EL20"/>
      <c r="EM20" s="25">
        <f>INT(EM19)</f>
        <v>-3</v>
      </c>
      <c r="EN20"/>
      <c r="EO20"/>
      <c r="EP20" s="25"/>
      <c r="ET20" s="25">
        <f>INT(ET19)</f>
        <v>-3</v>
      </c>
      <c r="EV20" s="25">
        <f>INT(EV19)</f>
        <v>2</v>
      </c>
      <c r="EX20" s="25">
        <f>INT(EX19)</f>
        <v>0</v>
      </c>
      <c r="EZ20" s="25">
        <f>INT(EZ19)</f>
        <v>-3</v>
      </c>
      <c r="FC20" s="25"/>
      <c r="FV20" s="25">
        <f>INT(FV19)</f>
        <v>-6</v>
      </c>
      <c r="FX20" s="25">
        <f>INT(FX19)</f>
        <v>-6</v>
      </c>
      <c r="FZ20" s="25">
        <f>INT(FZ19)</f>
        <v>0</v>
      </c>
      <c r="GB20" s="25">
        <f>INT(GB19)</f>
        <v>-1</v>
      </c>
      <c r="GD20" s="25">
        <f>INT(GD19)</f>
        <v>-6</v>
      </c>
      <c r="GI20" s="25">
        <f>INT(GI19)</f>
        <v>-5</v>
      </c>
      <c r="GK20" s="25">
        <f>INT(GK19)</f>
        <v>-5</v>
      </c>
      <c r="GM20" s="25">
        <f>INT(GM19)</f>
        <v>0</v>
      </c>
      <c r="GO20" s="25">
        <f>INT(GO19)</f>
        <v>-1</v>
      </c>
      <c r="GQ20" s="25">
        <f>INT(GQ19)</f>
        <v>-5</v>
      </c>
      <c r="GV20" s="25">
        <f>INT(GV19)</f>
        <v>-5</v>
      </c>
      <c r="GX20" s="25">
        <f>INT(GX19)</f>
        <v>-5</v>
      </c>
      <c r="GZ20" s="25">
        <f>INT(GZ19)</f>
        <v>0</v>
      </c>
      <c r="HB20" s="25">
        <f>INT(HB19)</f>
        <v>-1</v>
      </c>
      <c r="HD20" s="25">
        <f>INT(HD19)</f>
        <v>-5</v>
      </c>
    </row>
    <row r="21" spans="1:224" ht="19.95" customHeight="1">
      <c r="A21" s="144"/>
      <c r="B21" s="164" t="str">
        <f t="shared" si="25"/>
        <v>d = maró átmérő (mm)</v>
      </c>
      <c r="C21" s="169">
        <f>LOOKUP(BM12,AK2:AK312,AR2:AR312)</f>
        <v>10</v>
      </c>
      <c r="D21" s="172"/>
      <c r="E21" s="192">
        <v>7</v>
      </c>
      <c r="F21" s="143"/>
      <c r="G21" s="171">
        <f>LOOKUP(BM112,AK2:AK312,AR2:AR312)</f>
        <v>16</v>
      </c>
      <c r="H21" s="172"/>
      <c r="I21" s="193">
        <v>7</v>
      </c>
      <c r="J21" s="145"/>
      <c r="K21" s="145"/>
      <c r="L21" s="25">
        <v>5</v>
      </c>
      <c r="M21" s="5" t="str">
        <f t="shared" si="8"/>
        <v>NPT - Kúpos menet</v>
      </c>
      <c r="N21" s="34" t="s">
        <v>1853</v>
      </c>
      <c r="O21" s="65" t="s">
        <v>992</v>
      </c>
      <c r="P21" s="34" t="s">
        <v>821</v>
      </c>
      <c r="Q21" s="34" t="s">
        <v>1072</v>
      </c>
      <c r="R21" s="34" t="s">
        <v>726</v>
      </c>
      <c r="S21" s="34" t="s">
        <v>724</v>
      </c>
      <c r="T21" t="s">
        <v>1664</v>
      </c>
      <c r="U21" s="34" t="s">
        <v>392</v>
      </c>
      <c r="V21" s="34" t="s">
        <v>143</v>
      </c>
      <c r="W21" s="34" t="s">
        <v>1726</v>
      </c>
      <c r="X21" s="34" t="s">
        <v>1212</v>
      </c>
      <c r="Y21" s="34" t="s">
        <v>1442</v>
      </c>
      <c r="Z21" s="34" t="s">
        <v>1628</v>
      </c>
      <c r="AA21" s="34" t="s">
        <v>1459</v>
      </c>
      <c r="AB21" s="34" t="s">
        <v>512</v>
      </c>
      <c r="AC21" s="34" t="s">
        <v>1620</v>
      </c>
      <c r="AD21" s="34" t="s">
        <v>558</v>
      </c>
      <c r="AE21" s="76" t="s">
        <v>1513</v>
      </c>
      <c r="AF21" s="90" t="s">
        <v>1572</v>
      </c>
      <c r="AG21" s="81" t="s">
        <v>468</v>
      </c>
      <c r="AH21" s="95" t="s">
        <v>189</v>
      </c>
      <c r="AI21" s="34" t="s">
        <v>272</v>
      </c>
      <c r="AK21" s="4">
        <v>20</v>
      </c>
      <c r="AL21" s="4">
        <v>1</v>
      </c>
      <c r="AM21" s="4">
        <v>1</v>
      </c>
      <c r="AN21" s="4">
        <v>3</v>
      </c>
      <c r="AO21" s="197" t="s">
        <v>2122</v>
      </c>
      <c r="AP21" s="198">
        <v>272.2</v>
      </c>
      <c r="AQ21">
        <v>12</v>
      </c>
      <c r="AR21">
        <v>12</v>
      </c>
      <c r="AS21">
        <v>4</v>
      </c>
      <c r="AT21">
        <v>14</v>
      </c>
      <c r="AU21">
        <v>20.86</v>
      </c>
      <c r="AV21">
        <v>83</v>
      </c>
      <c r="AW21">
        <v>15.5</v>
      </c>
      <c r="AY21" s="38">
        <f t="shared" si="0"/>
        <v>20</v>
      </c>
      <c r="AZ21" s="25" t="b">
        <f t="shared" si="1"/>
        <v>0</v>
      </c>
      <c r="BA21" s="25" t="b">
        <f t="shared" si="2"/>
        <v>0</v>
      </c>
      <c r="BB21" s="25" t="b">
        <f t="shared" si="3"/>
        <v>0</v>
      </c>
      <c r="BC21" s="25" t="b">
        <f t="shared" si="4"/>
        <v>0</v>
      </c>
      <c r="BD21" t="e">
        <f t="shared" si="6"/>
        <v>#N/A</v>
      </c>
      <c r="BE21" s="24" t="e">
        <f t="shared" si="9"/>
        <v>#N/A</v>
      </c>
      <c r="BF21" t="e">
        <f t="shared" si="5"/>
        <v>#N/A</v>
      </c>
      <c r="BG21" t="b">
        <f t="shared" si="7"/>
        <v>1</v>
      </c>
      <c r="BH21" t="str">
        <f t="shared" si="24"/>
        <v/>
      </c>
      <c r="BI21" s="25">
        <v>19</v>
      </c>
      <c r="BJ21" s="6">
        <v>90</v>
      </c>
      <c r="BK21" s="8">
        <v>0.8</v>
      </c>
      <c r="BM21" s="10"/>
      <c r="BN21" s="11"/>
      <c r="BP21" s="14">
        <f t="shared" si="11"/>
        <v>12.969203958877902</v>
      </c>
      <c r="BQ21" s="11">
        <f t="shared" si="12"/>
        <v>5.5599173134922387E-2</v>
      </c>
      <c r="BS21" s="7" t="s">
        <v>768</v>
      </c>
      <c r="BT21" s="20">
        <f ca="1">IF(BT17&gt;=10,BT19,BT18)</f>
        <v>22</v>
      </c>
      <c r="CA21" s="33">
        <v>1000012</v>
      </c>
      <c r="CB21" s="33">
        <f t="shared" ca="1" si="23"/>
        <v>0</v>
      </c>
      <c r="CD21" s="39">
        <v>6</v>
      </c>
      <c r="CE21" s="45" t="str">
        <f ca="1">LOOKUP(CB$54,CF$5:DP$5,CF21:DP21)</f>
        <v>G03 X-2.323 Y2.323 Z0.25 I-2.323 J0.</v>
      </c>
      <c r="CF21" s="45"/>
      <c r="CG21" s="44" t="str">
        <f>CONCATENATE(DR21,DS21,DT21,DU21,DV21,DW21,DX21,DY21,DZ21,EA21,EB21,EC21)</f>
        <v>G03 X-2.5 Y2.5 Z0.25 I-2.5 J0.</v>
      </c>
      <c r="CH21" s="44" t="str">
        <f>CONCATENATE(CD21,DR88,DS88,DT88)</f>
        <v>6 CP IPA+90 IZ+0.25 DR+</v>
      </c>
      <c r="CI21" s="44" t="str">
        <f>CONCATENATE(EE21,EF21,EG21,EH21,EI21,EJ21,EK21,EL21,EM21,EN21,EO21,EP21)</f>
        <v>G03 X-2.323 Y2.323 Z0.25 I-2.323 J0.</v>
      </c>
      <c r="CJ21" s="44" t="str">
        <f>CH21</f>
        <v>6 CP IPA+90 IZ+0.25 DR+</v>
      </c>
      <c r="CK21" s="44" t="str">
        <f>CONCATENATE(ER21,ES21,ET21,EU21,EV21,EW21,EX21,EY21,EZ21,FA21,FB21,FC21)</f>
        <v>G03 X-2.23 Y2.23 Z0.25 I-2.23 J0.</v>
      </c>
      <c r="CL21" s="44" t="str">
        <f>CJ21</f>
        <v>6 CP IPA+90 IZ+0.25 DR+</v>
      </c>
      <c r="CM21" s="44" t="str">
        <f ca="1">CG12</f>
        <v>G01 G41 X2.5 Y-2.5 F129</v>
      </c>
      <c r="CN21" s="44" t="str">
        <f>CONCATENATE(CD21,FE88)</f>
        <v>6 LBL 101</v>
      </c>
      <c r="CO21" s="44" t="str">
        <f ca="1">CI12</f>
        <v>G01 G41 X2.323 Y-2.323 F124</v>
      </c>
      <c r="CP21" s="44" t="str">
        <f>CN21</f>
        <v>6 LBL 101</v>
      </c>
      <c r="CQ21" s="4" t="str">
        <f ca="1">CK12</f>
        <v>G01 G41 X2.23 Y-2.23 F122</v>
      </c>
      <c r="CR21" s="4" t="str">
        <f>CN21</f>
        <v>6 LBL 101</v>
      </c>
      <c r="CS21" s="4" t="str">
        <f>CM15</f>
        <v>#2=0</v>
      </c>
      <c r="CT21" s="44" t="str">
        <f>CH21</f>
        <v>6 CP IPA+90 IZ+0.25 DR+</v>
      </c>
      <c r="CU21" s="44" t="str">
        <f>CS21</f>
        <v>#2=0</v>
      </c>
      <c r="CV21" s="44" t="str">
        <f>CJ21</f>
        <v>6 CP IPA+90 IZ+0.25 DR+</v>
      </c>
      <c r="CW21" s="44" t="str">
        <f>CU21</f>
        <v>#2=0</v>
      </c>
      <c r="CX21" s="127" t="str">
        <f>CL21</f>
        <v>6 CP IPA+90 IZ+0.25 DR+</v>
      </c>
      <c r="CY21" s="44" t="str">
        <f>CONCATENATE(FT21,FU21,FV21,FW21,FX21,FY21,FZ21,GA21,GB21,GC21,GD21,GE21)</f>
        <v>G03 X-5.032 Y-5.016 Z0.5 I-0.016 J-5.016</v>
      </c>
      <c r="CZ21" s="127" t="str">
        <f>CH21</f>
        <v>6 CP IPA+90 IZ+0.25 DR+</v>
      </c>
      <c r="DA21" s="44" t="str">
        <f>CONCATENATE(GG21,GH21,GI21,GJ21,GK21,GL21,GM21,GN21,GO21,GP21,GQ21,GR21)</f>
        <v>G03 X-4.678 Y-4.662 Z0.5 I-0.016 J-4.662</v>
      </c>
      <c r="DB21" s="127" t="str">
        <f>CJ21</f>
        <v>6 CP IPA+90 IZ+0.25 DR+</v>
      </c>
      <c r="DC21" s="44" t="str">
        <f>CONCATENATE(GT21,GU21,GV21,GW21,GX21,GY21,GZ21,HA21,HB21,HC21,HD21,HE21)</f>
        <v>G03 X-4.492 Y-4.476 Z0.5 I-0.016 J-4.476</v>
      </c>
      <c r="DD21" s="127" t="str">
        <f>CL21</f>
        <v>6 CP IPA+90 IZ+0.25 DR+</v>
      </c>
      <c r="DE21" s="44" t="str">
        <f>CONCATENATE(DR18,DS18,DT18,". C",DV18,DW18,DX18,DY18,DZ18,EA18,EB18,EC18)</f>
        <v>G03 X0. C0. Z2. I-5. J0.</v>
      </c>
      <c r="DF21" s="44" t="str">
        <f>CONCATENATE(EE18,EF18,EG18,". C",EI18,EJ18,EK18,EL18,EM18,EN18,EO18,EP18)</f>
        <v>G03 X0. C0. Z2. I-4.646 J0.</v>
      </c>
      <c r="DG21" s="44" t="str">
        <f>CONCATENATE(ER18,ES18,ET18,". C",EV18,EW18,EX18,EY18,EZ18,FA18,FB18,FC18)</f>
        <v>G03 X0. C0. Z2. I-4.46 J0.</v>
      </c>
      <c r="DH21" s="44" t="str">
        <f>CM18</f>
        <v>WHILE[#2LT#1]DO1</v>
      </c>
      <c r="DI21" s="44" t="str">
        <f>DH21</f>
        <v>WHILE[#2LT#1]DO1</v>
      </c>
      <c r="DJ21" s="44" t="str">
        <f>DH21</f>
        <v>WHILE[#2LT#1]DO1</v>
      </c>
      <c r="DK21" s="44" t="str">
        <f>CS18</f>
        <v>#1=13</v>
      </c>
      <c r="DL21" s="44" t="str">
        <f>DK21</f>
        <v>#1=13</v>
      </c>
      <c r="DM21" s="44" t="str">
        <f>DL21</f>
        <v>#1=13</v>
      </c>
      <c r="DN21" s="44" t="str">
        <f>CONCATENATE(FT18,FU18,FV18,HM21,FX18,FY18,FZ18,GA18,GB18,GC18,GD18,GE18)</f>
        <v>G03 X-5. C5.016 Z0.5 I-5. J0.016</v>
      </c>
      <c r="DO21" s="44" t="str">
        <f>CONCATENATE(GG18,GH18,GI18,HO21,GK18,GL18,GM18,GN18,GO18,GP18,GQ18,GR18)</f>
        <v>G03 X-4.646 C4.662 Z0.5 I-4.646 J0.016</v>
      </c>
      <c r="DP21" s="44" t="str">
        <f>CONCATENATE(GT18,GU18,GV18,HQ21,GX18,GY18,GZ18,HA18,HB18,HC18,HD18,HE18)</f>
        <v>G03 X-4.464.476 Z0.5 I-4.46 J0.016</v>
      </c>
      <c r="DQ21" s="49">
        <v>6</v>
      </c>
      <c r="DR21" s="18" t="s">
        <v>546</v>
      </c>
      <c r="DS21" s="18" t="s">
        <v>545</v>
      </c>
      <c r="DT21" s="18" t="str">
        <f>SUBSTITUTE(DT19,",",".")</f>
        <v>-2.5</v>
      </c>
      <c r="DU21" s="18" t="str">
        <f>IF(DT19=DT20,". Y"," Y")</f>
        <v xml:space="preserve"> Y</v>
      </c>
      <c r="DV21" s="18" t="str">
        <f>SUBSTITUTE(DV19,",",".")</f>
        <v>2.5</v>
      </c>
      <c r="DW21" s="18" t="str">
        <f>IF(DV19=DV20,". Z"," Z")</f>
        <v xml:space="preserve"> Z</v>
      </c>
      <c r="DX21" s="18" t="str">
        <f>SUBSTITUTE(DX19,",",".")</f>
        <v>0.25</v>
      </c>
      <c r="DY21" s="18" t="str">
        <f>IF(DX19=DX20,". I"," I")</f>
        <v xml:space="preserve"> I</v>
      </c>
      <c r="DZ21" s="18" t="str">
        <f>SUBSTITUTE(DZ19,",",".")</f>
        <v>-2.5</v>
      </c>
      <c r="EA21" s="18" t="str">
        <f>IF(DZ19=DZ20,". J"," J")</f>
        <v xml:space="preserve"> J</v>
      </c>
      <c r="EB21" s="18">
        <v>0</v>
      </c>
      <c r="EC21" s="25" t="s">
        <v>1022</v>
      </c>
      <c r="ED21" s="49">
        <v>6</v>
      </c>
      <c r="EE21" s="18" t="s">
        <v>546</v>
      </c>
      <c r="EF21" s="18" t="s">
        <v>545</v>
      </c>
      <c r="EG21" s="18" t="str">
        <f>SUBSTITUTE(EG19,",",".")</f>
        <v>-2.323</v>
      </c>
      <c r="EH21" s="18" t="str">
        <f>IF(EG19=EG20,". Y"," Y")</f>
        <v xml:space="preserve"> Y</v>
      </c>
      <c r="EI21" s="18" t="str">
        <f>SUBSTITUTE(EI19,",",".")</f>
        <v>2.323</v>
      </c>
      <c r="EJ21" s="18" t="str">
        <f>IF(EI19=EI20,". Z"," Z")</f>
        <v xml:space="preserve"> Z</v>
      </c>
      <c r="EK21" s="18" t="str">
        <f>SUBSTITUTE(EK19,",",".")</f>
        <v>0.25</v>
      </c>
      <c r="EL21" s="18" t="str">
        <f>IF(EK19=EK20,". I"," I")</f>
        <v xml:space="preserve"> I</v>
      </c>
      <c r="EM21" s="18" t="str">
        <f>SUBSTITUTE(EM19,",",".")</f>
        <v>-2.323</v>
      </c>
      <c r="EN21" s="18" t="str">
        <f>IF(EM19=EM20,". J"," J")</f>
        <v xml:space="preserve"> J</v>
      </c>
      <c r="EO21" s="18">
        <v>0</v>
      </c>
      <c r="EP21" s="25" t="s">
        <v>1022</v>
      </c>
      <c r="EQ21" s="49">
        <v>6</v>
      </c>
      <c r="ER21" s="18" t="s">
        <v>546</v>
      </c>
      <c r="ES21" s="18" t="s">
        <v>545</v>
      </c>
      <c r="ET21" s="18" t="str">
        <f>SUBSTITUTE(ET19,",",".")</f>
        <v>-2.23</v>
      </c>
      <c r="EU21" s="18" t="str">
        <f>IF(ET19=ET20,". Y"," Y")</f>
        <v xml:space="preserve"> Y</v>
      </c>
      <c r="EV21" s="18" t="str">
        <f>SUBSTITUTE(EV19,",",".")</f>
        <v>2.23</v>
      </c>
      <c r="EW21" s="18" t="str">
        <f>IF(EV19=EV20,". Z"," Z")</f>
        <v xml:space="preserve"> Z</v>
      </c>
      <c r="EX21" s="18" t="str">
        <f>SUBSTITUTE(EX19,",",".")</f>
        <v>0.25</v>
      </c>
      <c r="EY21" s="18" t="str">
        <f>IF(EX19=EX20,". I"," I")</f>
        <v xml:space="preserve"> I</v>
      </c>
      <c r="EZ21" s="18" t="str">
        <f>SUBSTITUTE(EZ19,",",".")</f>
        <v>-2.23</v>
      </c>
      <c r="FA21" s="18" t="str">
        <f>IF(EZ19=EZ20,". J"," J")</f>
        <v xml:space="preserve"> J</v>
      </c>
      <c r="FB21" s="18">
        <v>0</v>
      </c>
      <c r="FC21" s="25" t="s">
        <v>1022</v>
      </c>
      <c r="FS21" s="49">
        <v>6</v>
      </c>
      <c r="FT21" s="33" t="s">
        <v>546</v>
      </c>
      <c r="FU21" s="33" t="s">
        <v>545</v>
      </c>
      <c r="FV21" s="18" t="str">
        <f>SUBSTITUTE(FV19,",",".")</f>
        <v>-5.032</v>
      </c>
      <c r="FW21" s="18" t="str">
        <f>IF(FV19=FV20,". Y"," Y")</f>
        <v xml:space="preserve"> Y</v>
      </c>
      <c r="FX21" s="18" t="str">
        <f>SUBSTITUTE(FX19,",",".")</f>
        <v>-5.016</v>
      </c>
      <c r="FY21" s="18" t="str">
        <f>IF(FX19=FX20,". Z"," Z")</f>
        <v xml:space="preserve"> Z</v>
      </c>
      <c r="FZ21" s="18" t="str">
        <f>SUBSTITUTE(FZ19,",",".")</f>
        <v>0.5</v>
      </c>
      <c r="GA21" s="18" t="str">
        <f>IF(FZ19=FZ20,". I"," I")</f>
        <v xml:space="preserve"> I</v>
      </c>
      <c r="GB21" s="18" t="str">
        <f>SUBSTITUTE(GB19,",",".")</f>
        <v>-0.016</v>
      </c>
      <c r="GC21" s="18" t="str">
        <f>IF(GB19=GB20,". J"," J")</f>
        <v xml:space="preserve"> J</v>
      </c>
      <c r="GD21" s="18" t="str">
        <f>SUBSTITUTE(GD19,",",".")</f>
        <v>-5.016</v>
      </c>
      <c r="GE21" s="18" t="str">
        <f>IF(GD19=GD20,".","")</f>
        <v/>
      </c>
      <c r="GF21" s="49">
        <v>6</v>
      </c>
      <c r="GG21" s="33" t="s">
        <v>546</v>
      </c>
      <c r="GH21" s="33" t="s">
        <v>545</v>
      </c>
      <c r="GI21" s="18" t="str">
        <f>SUBSTITUTE(GI19,",",".")</f>
        <v>-4.678</v>
      </c>
      <c r="GJ21" s="18" t="str">
        <f>IF(GI19=GI20,". Y"," Y")</f>
        <v xml:space="preserve"> Y</v>
      </c>
      <c r="GK21" s="18" t="str">
        <f>SUBSTITUTE(GK19,",",".")</f>
        <v>-4.662</v>
      </c>
      <c r="GL21" s="18" t="str">
        <f>IF(GK19=GK20,". Z"," Z")</f>
        <v xml:space="preserve"> Z</v>
      </c>
      <c r="GM21" s="18" t="str">
        <f>SUBSTITUTE(GM19,",",".")</f>
        <v>0.5</v>
      </c>
      <c r="GN21" s="18" t="str">
        <f>IF(GM19=GM20,". I"," I")</f>
        <v xml:space="preserve"> I</v>
      </c>
      <c r="GO21" s="18" t="str">
        <f>SUBSTITUTE(GO19,",",".")</f>
        <v>-0.016</v>
      </c>
      <c r="GP21" s="18" t="str">
        <f>IF(GO19=GO20,". J"," J")</f>
        <v xml:space="preserve"> J</v>
      </c>
      <c r="GQ21" s="18" t="str">
        <f>SUBSTITUTE(GQ19,",",".")</f>
        <v>-4.662</v>
      </c>
      <c r="GR21" s="18" t="str">
        <f>IF(GQ19=GQ20,".","")</f>
        <v/>
      </c>
      <c r="GS21" s="49">
        <v>6</v>
      </c>
      <c r="GT21" s="33" t="s">
        <v>546</v>
      </c>
      <c r="GU21" s="33" t="s">
        <v>545</v>
      </c>
      <c r="GV21" s="18" t="str">
        <f>SUBSTITUTE(GV19,",",".")</f>
        <v>-4.492</v>
      </c>
      <c r="GW21" s="18" t="str">
        <f>IF(GV19=GV20,". Y"," Y")</f>
        <v xml:space="preserve"> Y</v>
      </c>
      <c r="GX21" s="18" t="str">
        <f>SUBSTITUTE(GX19,",",".")</f>
        <v>-4.476</v>
      </c>
      <c r="GY21" s="18" t="str">
        <f>IF(GX19=GX20,". Z"," Z")</f>
        <v xml:space="preserve"> Z</v>
      </c>
      <c r="GZ21" s="18" t="str">
        <f>SUBSTITUTE(GZ19,",",".")</f>
        <v>0.5</v>
      </c>
      <c r="HA21" s="18" t="str">
        <f>IF(GZ19=GZ20,". I"," I")</f>
        <v xml:space="preserve"> I</v>
      </c>
      <c r="HB21" s="18" t="str">
        <f>SUBSTITUTE(HB19,",",".")</f>
        <v>-0.016</v>
      </c>
      <c r="HC21" s="18" t="str">
        <f>IF(HB19=HB20,". J"," J")</f>
        <v xml:space="preserve"> J</v>
      </c>
      <c r="HD21" s="18" t="str">
        <f>SUBSTITUTE(HD19,",",".")</f>
        <v>-4.476</v>
      </c>
      <c r="HE21" s="18" t="str">
        <f>IF(HD19=HD20,".","")</f>
        <v/>
      </c>
      <c r="HL21" s="49">
        <v>6</v>
      </c>
      <c r="HM21" s="33" t="str">
        <f>IF(FV16=FV17,". C"," C")</f>
        <v>. C</v>
      </c>
      <c r="HN21" s="49">
        <v>6</v>
      </c>
      <c r="HO21" s="33" t="str">
        <f>IF(GI16=GI17,". C"," C")</f>
        <v xml:space="preserve"> C</v>
      </c>
      <c r="HP21" s="49">
        <v>6</v>
      </c>
    </row>
    <row r="22" spans="1:224" ht="19.95" customHeight="1">
      <c r="A22" s="144"/>
      <c r="B22" s="164" t="str">
        <f t="shared" si="25"/>
        <v>l = maró él hossz (mm)</v>
      </c>
      <c r="C22" s="169">
        <f>LOOKUP(BM12,AK2:AK312,AU2:AU312)</f>
        <v>31</v>
      </c>
      <c r="D22" s="170"/>
      <c r="E22" s="192">
        <v>8</v>
      </c>
      <c r="F22" s="143"/>
      <c r="G22" s="171">
        <f>LOOKUP(BM112,AK2:AK312,AU2:AU312)</f>
        <v>39</v>
      </c>
      <c r="H22" s="170"/>
      <c r="I22" s="193">
        <v>8</v>
      </c>
      <c r="J22" s="145"/>
      <c r="K22" s="145"/>
      <c r="L22" s="25">
        <v>6</v>
      </c>
      <c r="M22" s="5" t="str">
        <f t="shared" si="8"/>
        <v>NPTF - Kúpos tömítő menet</v>
      </c>
      <c r="N22" s="34" t="s">
        <v>1854</v>
      </c>
      <c r="O22" s="65" t="s">
        <v>993</v>
      </c>
      <c r="P22" s="34" t="s">
        <v>721</v>
      </c>
      <c r="Q22" s="34" t="s">
        <v>1169</v>
      </c>
      <c r="R22" s="34" t="s">
        <v>727</v>
      </c>
      <c r="S22" s="34" t="s">
        <v>859</v>
      </c>
      <c r="T22" t="s">
        <v>1665</v>
      </c>
      <c r="U22" s="34" t="s">
        <v>1135</v>
      </c>
      <c r="V22" s="34" t="s">
        <v>139</v>
      </c>
      <c r="W22" s="34" t="s">
        <v>1727</v>
      </c>
      <c r="X22" s="34" t="s">
        <v>1213</v>
      </c>
      <c r="Y22" s="34" t="s">
        <v>1443</v>
      </c>
      <c r="Z22" s="34" t="s">
        <v>1527</v>
      </c>
      <c r="AA22" s="34" t="s">
        <v>1460</v>
      </c>
      <c r="AB22" s="34" t="s">
        <v>514</v>
      </c>
      <c r="AC22" s="34" t="s">
        <v>1621</v>
      </c>
      <c r="AD22" s="34" t="s">
        <v>559</v>
      </c>
      <c r="AE22" s="76" t="s">
        <v>1314</v>
      </c>
      <c r="AF22" s="90" t="s">
        <v>1573</v>
      </c>
      <c r="AG22" s="81" t="s">
        <v>469</v>
      </c>
      <c r="AH22" s="95" t="s">
        <v>190</v>
      </c>
      <c r="AI22" s="34" t="s">
        <v>273</v>
      </c>
      <c r="AK22" s="4">
        <v>21</v>
      </c>
      <c r="AL22" s="4">
        <v>2</v>
      </c>
      <c r="AM22" s="4">
        <v>4</v>
      </c>
      <c r="AN22" s="4">
        <v>4</v>
      </c>
      <c r="AO22" s="197" t="s">
        <v>2123</v>
      </c>
      <c r="AP22" s="198">
        <v>299.60000000000002</v>
      </c>
      <c r="AQ22">
        <v>12</v>
      </c>
      <c r="AR22">
        <v>12</v>
      </c>
      <c r="AS22">
        <v>4</v>
      </c>
      <c r="AT22">
        <v>14</v>
      </c>
      <c r="AU22">
        <v>20.86</v>
      </c>
      <c r="AV22">
        <v>83</v>
      </c>
      <c r="AW22">
        <v>15.5</v>
      </c>
      <c r="AY22" s="38">
        <f t="shared" si="0"/>
        <v>21</v>
      </c>
      <c r="AZ22" s="25" t="b">
        <f t="shared" si="1"/>
        <v>0</v>
      </c>
      <c r="BA22" s="25" t="b">
        <f t="shared" si="2"/>
        <v>0</v>
      </c>
      <c r="BB22" s="25" t="b">
        <f t="shared" si="3"/>
        <v>0</v>
      </c>
      <c r="BC22" s="25" t="b">
        <f t="shared" si="4"/>
        <v>0</v>
      </c>
      <c r="BD22" t="e">
        <f>LOOKUP(BE21,BC$2:BC$312)</f>
        <v>#N/A</v>
      </c>
      <c r="BE22" s="24" t="e">
        <f>BD22-1</f>
        <v>#N/A</v>
      </c>
      <c r="BF22" t="e">
        <f t="shared" si="5"/>
        <v>#N/A</v>
      </c>
      <c r="BG22" t="b">
        <f>ISNA(BF22)</f>
        <v>1</v>
      </c>
      <c r="BH22" t="str">
        <f t="shared" si="24"/>
        <v/>
      </c>
      <c r="BI22" s="25">
        <v>20</v>
      </c>
      <c r="BJ22" s="6">
        <v>63</v>
      </c>
      <c r="BK22" s="8">
        <v>0.7</v>
      </c>
      <c r="BM22" s="10"/>
      <c r="BN22" s="11"/>
      <c r="BP22" s="14">
        <f t="shared" si="11"/>
        <v>14.395816394354473</v>
      </c>
      <c r="BQ22" s="11">
        <f t="shared" si="12"/>
        <v>6.1159090448414631E-2</v>
      </c>
      <c r="CA22" s="33">
        <v>1000022</v>
      </c>
      <c r="CB22" s="33">
        <f t="shared" ca="1" si="23"/>
        <v>0</v>
      </c>
      <c r="CD22" s="39"/>
      <c r="CE22" s="45"/>
      <c r="CF22" s="45"/>
      <c r="CR22" s="44"/>
      <c r="DQ22" s="49"/>
      <c r="DR22" s="18"/>
      <c r="DS22" s="18"/>
      <c r="DT22" s="18"/>
      <c r="DU22" s="18">
        <f>-BX57</f>
        <v>-2.5</v>
      </c>
      <c r="DV22" s="18"/>
      <c r="DW22" s="18">
        <f>-BX57</f>
        <v>-2.5</v>
      </c>
      <c r="DX22" s="18"/>
      <c r="DY22" s="18"/>
      <c r="DZ22" s="18"/>
      <c r="EA22" s="18"/>
      <c r="EB22" s="18"/>
      <c r="ED22" s="49"/>
      <c r="EE22" s="18"/>
      <c r="EF22" s="18"/>
      <c r="EG22" s="18"/>
      <c r="EH22" s="18">
        <f>-BY62</f>
        <v>-2.323</v>
      </c>
      <c r="EI22" s="18"/>
      <c r="EJ22" s="18">
        <f>-BY62</f>
        <v>-2.323</v>
      </c>
      <c r="EK22" s="18"/>
      <c r="EL22" s="18"/>
      <c r="EM22" s="18"/>
      <c r="EN22" s="18"/>
      <c r="EO22" s="18"/>
      <c r="EP22" s="25"/>
      <c r="EQ22" s="49"/>
      <c r="ER22" s="18"/>
      <c r="ES22" s="18"/>
      <c r="ET22" s="18"/>
      <c r="EU22" s="18">
        <f>-BY68</f>
        <v>-2.23</v>
      </c>
      <c r="EV22" s="18"/>
      <c r="EW22" s="18">
        <f>-BY68</f>
        <v>-2.23</v>
      </c>
      <c r="EX22" s="18"/>
      <c r="EY22" s="18"/>
      <c r="EZ22" s="18"/>
      <c r="FA22" s="18"/>
      <c r="FB22" s="18"/>
      <c r="FC22" s="25"/>
      <c r="FV22" s="33">
        <f>-FV19</f>
        <v>5.032</v>
      </c>
      <c r="FX22" s="33">
        <f>FV19+GB19</f>
        <v>-5.048</v>
      </c>
      <c r="FZ22" s="33">
        <f>FZ16</f>
        <v>0.5</v>
      </c>
      <c r="GB22" s="33">
        <f>FV22</f>
        <v>5.032</v>
      </c>
      <c r="GD22" s="33">
        <f>-GD16</f>
        <v>-1.6E-2</v>
      </c>
      <c r="GI22" s="33">
        <f>-GI19</f>
        <v>4.6779999999999999</v>
      </c>
      <c r="GK22" s="33">
        <f>GI19+GO19</f>
        <v>-4.694</v>
      </c>
      <c r="GM22" s="33">
        <f>GM16</f>
        <v>0.5</v>
      </c>
      <c r="GO22" s="33">
        <f>GI22</f>
        <v>4.6779999999999999</v>
      </c>
      <c r="GQ22" s="33">
        <f>-GQ16</f>
        <v>-1.6E-2</v>
      </c>
      <c r="GV22" s="33">
        <f>-GV19</f>
        <v>4.492</v>
      </c>
      <c r="GX22" s="33">
        <f>GV19+HB19</f>
        <v>-4.508</v>
      </c>
      <c r="GZ22" s="33">
        <f>GZ16</f>
        <v>0.5</v>
      </c>
      <c r="HB22" s="33">
        <f>GV22</f>
        <v>4.492</v>
      </c>
      <c r="HD22" s="33">
        <f>-HD16</f>
        <v>-1.6E-2</v>
      </c>
    </row>
    <row r="23" spans="1:224" ht="19.95" customHeight="1">
      <c r="A23" s="144"/>
      <c r="B23" s="164" t="str">
        <f t="shared" si="25"/>
        <v>z = maró fogszám</v>
      </c>
      <c r="C23" s="169">
        <f>LOOKUP(BM12,AK2:AK312,AS2:AS312)</f>
        <v>3</v>
      </c>
      <c r="D23" s="173"/>
      <c r="E23" s="192">
        <v>9</v>
      </c>
      <c r="F23" s="143"/>
      <c r="G23" s="171">
        <f>LOOKUP(BM112,AK2:AK312,AS2:AS312)</f>
        <v>5</v>
      </c>
      <c r="H23" s="173"/>
      <c r="I23" s="193">
        <v>9</v>
      </c>
      <c r="J23" s="145"/>
      <c r="K23" s="145"/>
      <c r="L23" s="25">
        <v>7</v>
      </c>
      <c r="M23" s="5" t="str">
        <f t="shared" si="8"/>
        <v>NPSF - Csőmenet</v>
      </c>
      <c r="N23" s="34" t="s">
        <v>1855</v>
      </c>
      <c r="O23" s="65" t="s">
        <v>994</v>
      </c>
      <c r="P23" s="34" t="s">
        <v>584</v>
      </c>
      <c r="Q23" s="34" t="s">
        <v>1170</v>
      </c>
      <c r="R23" s="34" t="s">
        <v>585</v>
      </c>
      <c r="S23" s="34" t="s">
        <v>801</v>
      </c>
      <c r="T23" t="s">
        <v>1666</v>
      </c>
      <c r="U23" s="34" t="s">
        <v>393</v>
      </c>
      <c r="V23" s="34" t="s">
        <v>140</v>
      </c>
      <c r="W23" s="34" t="s">
        <v>1728</v>
      </c>
      <c r="X23" s="34" t="s">
        <v>1214</v>
      </c>
      <c r="Y23" s="34" t="s">
        <v>1444</v>
      </c>
      <c r="Z23" s="34" t="s">
        <v>1528</v>
      </c>
      <c r="AA23" s="34" t="s">
        <v>1418</v>
      </c>
      <c r="AB23" s="34" t="s">
        <v>566</v>
      </c>
      <c r="AC23" s="34" t="s">
        <v>1622</v>
      </c>
      <c r="AD23" s="34" t="s">
        <v>769</v>
      </c>
      <c r="AE23" s="76" t="s">
        <v>1315</v>
      </c>
      <c r="AF23" s="90" t="s">
        <v>1396</v>
      </c>
      <c r="AG23" s="81" t="s">
        <v>470</v>
      </c>
      <c r="AH23" s="95" t="s">
        <v>104</v>
      </c>
      <c r="AI23" s="34" t="s">
        <v>144</v>
      </c>
      <c r="AK23" s="4">
        <v>22</v>
      </c>
      <c r="AL23" s="4">
        <v>1</v>
      </c>
      <c r="AM23" s="4">
        <v>1</v>
      </c>
      <c r="AN23" s="4">
        <v>3</v>
      </c>
      <c r="AO23" s="197" t="s">
        <v>2124</v>
      </c>
      <c r="AP23" s="198">
        <v>272.2</v>
      </c>
      <c r="AQ23">
        <v>12</v>
      </c>
      <c r="AR23">
        <v>12</v>
      </c>
      <c r="AS23">
        <v>3</v>
      </c>
      <c r="AT23">
        <v>11</v>
      </c>
      <c r="AU23">
        <v>26.55</v>
      </c>
      <c r="AV23">
        <v>83</v>
      </c>
      <c r="AW23">
        <v>15.476000000000001</v>
      </c>
      <c r="AY23" s="38">
        <f t="shared" si="0"/>
        <v>22</v>
      </c>
      <c r="AZ23" s="25" t="b">
        <f t="shared" si="1"/>
        <v>0</v>
      </c>
      <c r="BA23" s="25">
        <f t="shared" si="2"/>
        <v>22</v>
      </c>
      <c r="BB23" s="25" t="b">
        <f t="shared" si="3"/>
        <v>0</v>
      </c>
      <c r="BC23" s="25" t="b">
        <f t="shared" si="4"/>
        <v>0</v>
      </c>
      <c r="BD23" t="e">
        <f>LOOKUP(BE22,BC$2:BC$312)</f>
        <v>#N/A</v>
      </c>
      <c r="BE23" s="24" t="e">
        <f>BD23-1</f>
        <v>#N/A</v>
      </c>
      <c r="BF23" t="e">
        <f t="shared" si="5"/>
        <v>#N/A</v>
      </c>
      <c r="BG23" t="b">
        <f>ISNA(BF23)</f>
        <v>1</v>
      </c>
      <c r="BH23" t="str">
        <f t="shared" si="24"/>
        <v/>
      </c>
      <c r="BI23" s="25">
        <v>21</v>
      </c>
      <c r="BJ23" s="6">
        <v>55</v>
      </c>
      <c r="BK23" s="8">
        <v>0.6</v>
      </c>
      <c r="BM23" s="7" t="s">
        <v>780</v>
      </c>
      <c r="BN23" s="11">
        <f>BN3*BS65*BN12</f>
        <v>2.0334352500000003E-2</v>
      </c>
      <c r="BP23" s="14">
        <f t="shared" si="11"/>
        <v>15.979356197733466</v>
      </c>
      <c r="BQ23" s="11">
        <f t="shared" si="12"/>
        <v>6.7274999493256105E-2</v>
      </c>
      <c r="BS23" s="7" t="s">
        <v>791</v>
      </c>
      <c r="BT23" s="21">
        <f ca="1">IF(BN29=1,BT21*BX9,IF(BN29=2,CA64*BX9,IF(BN29=3,CA71*BX9)))</f>
        <v>42</v>
      </c>
      <c r="CA23" s="33">
        <v>1000032</v>
      </c>
      <c r="CB23" s="33">
        <f t="shared" ca="1" si="23"/>
        <v>0</v>
      </c>
      <c r="CD23" s="39"/>
      <c r="CE23" s="45"/>
      <c r="CF23" s="45"/>
      <c r="CR23" s="44"/>
      <c r="DU23" s="25">
        <f>INT(DU22)</f>
        <v>-3</v>
      </c>
      <c r="DW23" s="25">
        <f>INT(DW22)</f>
        <v>-3</v>
      </c>
      <c r="ED23" s="46"/>
      <c r="EE23"/>
      <c r="EF23"/>
      <c r="EG23"/>
      <c r="EH23" s="25">
        <f>INT(EH22)</f>
        <v>-3</v>
      </c>
      <c r="EI23"/>
      <c r="EJ23" s="25">
        <f>INT(EJ22)</f>
        <v>-3</v>
      </c>
      <c r="EK23"/>
      <c r="EL23"/>
      <c r="EM23"/>
      <c r="EN23"/>
      <c r="EO23"/>
      <c r="EP23" s="25"/>
      <c r="EU23" s="25">
        <f>INT(EU22)</f>
        <v>-3</v>
      </c>
      <c r="EW23" s="25">
        <f>INT(EW22)</f>
        <v>-3</v>
      </c>
      <c r="FC23" s="25"/>
      <c r="FV23" s="25">
        <f>INT(FV22)</f>
        <v>5</v>
      </c>
      <c r="FX23" s="25">
        <f>INT(FX22)</f>
        <v>-6</v>
      </c>
      <c r="FZ23" s="25">
        <f>INT(FZ22)</f>
        <v>0</v>
      </c>
      <c r="GB23" s="25">
        <f>INT(GB22)</f>
        <v>5</v>
      </c>
      <c r="GD23" s="25">
        <f>INT(GD22)</f>
        <v>-1</v>
      </c>
      <c r="GI23" s="25">
        <f>INT(GI22)</f>
        <v>4</v>
      </c>
      <c r="GK23" s="25">
        <f>INT(GK22)</f>
        <v>-5</v>
      </c>
      <c r="GM23" s="25">
        <f>INT(GM22)</f>
        <v>0</v>
      </c>
      <c r="GO23" s="25">
        <f>INT(GO22)</f>
        <v>4</v>
      </c>
      <c r="GQ23" s="25">
        <f>INT(GQ22)</f>
        <v>-1</v>
      </c>
      <c r="GV23" s="25">
        <f>INT(GV22)</f>
        <v>4</v>
      </c>
      <c r="GX23" s="25">
        <f>INT(GX22)</f>
        <v>-5</v>
      </c>
      <c r="GZ23" s="25">
        <f>INT(GZ22)</f>
        <v>0</v>
      </c>
      <c r="HB23" s="25">
        <f>INT(HB22)</f>
        <v>4</v>
      </c>
      <c r="HD23" s="25">
        <f>INT(HD22)</f>
        <v>-1</v>
      </c>
    </row>
    <row r="24" spans="1:224" ht="19.95" customHeight="1">
      <c r="A24" s="144"/>
      <c r="B24" s="164" t="str">
        <f t="shared" si="25"/>
        <v>V = forgácsoló sebesség (m/min)</v>
      </c>
      <c r="C24" s="174">
        <f>BM3</f>
        <v>83</v>
      </c>
      <c r="D24" s="173"/>
      <c r="E24" s="192">
        <v>10</v>
      </c>
      <c r="F24" s="143"/>
      <c r="G24" s="175">
        <f>BM103</f>
        <v>83</v>
      </c>
      <c r="H24" s="173"/>
      <c r="I24" s="193">
        <v>10</v>
      </c>
      <c r="J24" s="145"/>
      <c r="K24" s="145"/>
      <c r="L24" s="25">
        <v>8</v>
      </c>
      <c r="M24" s="5" t="str">
        <f t="shared" si="8"/>
        <v>PG - Páncélcsőmenet</v>
      </c>
      <c r="N24" s="34" t="s">
        <v>1856</v>
      </c>
      <c r="O24" s="65" t="s">
        <v>995</v>
      </c>
      <c r="P24" s="34" t="s">
        <v>1002</v>
      </c>
      <c r="Q24" s="34" t="s">
        <v>1002</v>
      </c>
      <c r="R24" s="34" t="s">
        <v>1002</v>
      </c>
      <c r="S24" s="34" t="s">
        <v>1002</v>
      </c>
      <c r="T24" s="34" t="s">
        <v>1667</v>
      </c>
      <c r="U24" s="34" t="s">
        <v>1136</v>
      </c>
      <c r="V24" s="34" t="s">
        <v>141</v>
      </c>
      <c r="W24" s="34" t="s">
        <v>1729</v>
      </c>
      <c r="X24" s="34" t="s">
        <v>1002</v>
      </c>
      <c r="Y24" s="34" t="s">
        <v>1361</v>
      </c>
      <c r="Z24" s="34" t="s">
        <v>1529</v>
      </c>
      <c r="AA24" s="34" t="s">
        <v>1002</v>
      </c>
      <c r="AB24" s="34" t="s">
        <v>567</v>
      </c>
      <c r="AC24" s="34" t="s">
        <v>1623</v>
      </c>
      <c r="AD24" s="34" t="s">
        <v>638</v>
      </c>
      <c r="AE24" s="76" t="s">
        <v>1316</v>
      </c>
      <c r="AF24" s="90" t="s">
        <v>1397</v>
      </c>
      <c r="AG24" s="81" t="s">
        <v>471</v>
      </c>
      <c r="AH24" s="95" t="s">
        <v>105</v>
      </c>
      <c r="AI24" s="34" t="s">
        <v>149</v>
      </c>
      <c r="AK24" s="4">
        <v>23</v>
      </c>
      <c r="AL24" s="4">
        <v>1</v>
      </c>
      <c r="AM24" s="4">
        <v>1</v>
      </c>
      <c r="AN24" s="4">
        <v>3</v>
      </c>
      <c r="AO24" s="197" t="s">
        <v>2125</v>
      </c>
      <c r="AP24" s="198">
        <v>231.9</v>
      </c>
      <c r="AQ24">
        <v>10</v>
      </c>
      <c r="AR24">
        <v>10</v>
      </c>
      <c r="AS24">
        <v>4</v>
      </c>
      <c r="AT24">
        <v>19</v>
      </c>
      <c r="AU24">
        <v>22.06</v>
      </c>
      <c r="AV24">
        <v>76</v>
      </c>
      <c r="AW24">
        <v>12.7</v>
      </c>
      <c r="AY24" s="38">
        <f t="shared" si="0"/>
        <v>23</v>
      </c>
      <c r="AZ24" s="25" t="b">
        <f t="shared" si="1"/>
        <v>0</v>
      </c>
      <c r="BA24" s="25" t="b">
        <f t="shared" si="2"/>
        <v>0</v>
      </c>
      <c r="BB24" s="25" t="b">
        <f t="shared" si="3"/>
        <v>0</v>
      </c>
      <c r="BC24" s="25" t="b">
        <f t="shared" si="4"/>
        <v>0</v>
      </c>
      <c r="BD24" t="e">
        <f>LOOKUP(BE23,BC$2:BC$312)</f>
        <v>#N/A</v>
      </c>
      <c r="BE24" s="24" t="e">
        <f>BD24-1</f>
        <v>#N/A</v>
      </c>
      <c r="BF24" t="e">
        <f t="shared" si="5"/>
        <v>#N/A</v>
      </c>
      <c r="BG24" t="b">
        <f>ISNA(BF24)</f>
        <v>1</v>
      </c>
      <c r="BH24" t="str">
        <f t="shared" si="24"/>
        <v/>
      </c>
      <c r="BI24" s="25">
        <v>22</v>
      </c>
      <c r="BJ24" s="6">
        <v>180</v>
      </c>
      <c r="BK24" s="8">
        <v>1</v>
      </c>
      <c r="BM24" s="7" t="s">
        <v>810</v>
      </c>
      <c r="BN24" s="11">
        <f>BN23*1.6</f>
        <v>3.2534964000000006E-2</v>
      </c>
      <c r="BP24" s="14">
        <f t="shared" si="11"/>
        <v>17.737085379484149</v>
      </c>
      <c r="BQ24" s="11">
        <f t="shared" si="12"/>
        <v>7.4002499442581721E-2</v>
      </c>
      <c r="BT24" s="21">
        <f ca="1">IF(D22&gt;0,BT23/BX9,BT23)</f>
        <v>42</v>
      </c>
      <c r="CA24" s="33">
        <v>1000112</v>
      </c>
      <c r="CB24" s="33">
        <f t="shared" ca="1" si="23"/>
        <v>0</v>
      </c>
      <c r="CD24" s="39">
        <v>7</v>
      </c>
      <c r="CE24" s="45" t="str">
        <f ca="1">LOOKUP(CB$54,CF$5:DP$5,CF24:DP24)</f>
        <v>G01 G40 X-2.323 Y-2.323</v>
      </c>
      <c r="CF24" s="45"/>
      <c r="CG24" s="44" t="str">
        <f>CONCATENATE(DR24,DS24,DT24,DU24,DV24,DW24,DX24)</f>
        <v>G01 G40 X-2.5 Y-2.5</v>
      </c>
      <c r="CH24" s="44" t="str">
        <f>CONCATENATE(CD24,DR91,DS91,DT91)</f>
        <v>7 CC IX-5 IY+0</v>
      </c>
      <c r="CI24" s="44" t="str">
        <f>CONCATENATE(EE24,EF24,EG24,EH24,EI24,EJ24,EK24)</f>
        <v>G01 G40 X-2.323 Y-2.323</v>
      </c>
      <c r="CJ24" s="44" t="str">
        <f>CONCATENATE(CD24,EE91,EF91,EG91)</f>
        <v>7 CC IX-4.646 IY+0</v>
      </c>
      <c r="CK24" s="44" t="str">
        <f>CONCATENATE(ER24,ES24,ET24,EU24,EV24,EW24,EX24)</f>
        <v>G01 G40 X-2.23 Y-2.23</v>
      </c>
      <c r="CL24" s="44" t="str">
        <f>CONCATENATE(CD24,ER91,ES91,ET91)</f>
        <v>7 CC IX-4.46 IY+0</v>
      </c>
      <c r="CM24" s="44" t="str">
        <f>CG15</f>
        <v>G03 X2.5 Y2.5 Z0.25 I0. J2.5</v>
      </c>
      <c r="CN24" s="44" t="str">
        <f ca="1">CONCATENATE(CD24,DR82,DS82,DT82,DU82,DV82,DW82)</f>
        <v>7 L IX+2.5 IY-2.5 RL F129</v>
      </c>
      <c r="CO24" s="44" t="str">
        <f>CI15</f>
        <v>G03 X2.323 Y2.323 Z0.25 I0. J2.323</v>
      </c>
      <c r="CP24" s="44" t="str">
        <f ca="1">CONCATENATE(CD24,EE82,EF82,EG82,EH82,EI82,EJ82)</f>
        <v>7 L IX+2.323 IY-2.323 RL F124</v>
      </c>
      <c r="CQ24" s="4" t="str">
        <f>CK15</f>
        <v>G03 X2.23 Y2.23 Z0.25 I0. J2.23</v>
      </c>
      <c r="CR24" s="44" t="str">
        <f ca="1">CONCATENATE(CD24,ER82,ES82,ET82,EU82,EV82,EW82)</f>
        <v>7 L IX+2.23 IY-2.23 RL F122</v>
      </c>
      <c r="CS24" s="4" t="str">
        <f>CM18</f>
        <v>WHILE[#2LT#1]DO1</v>
      </c>
      <c r="CT24" s="4" t="str">
        <f>CONCATENATE(CD24,FE82,FK18)</f>
        <v>7 FN 0: Q1 =+13</v>
      </c>
      <c r="CU24" s="44" t="str">
        <f>CS24</f>
        <v>WHILE[#2LT#1]DO1</v>
      </c>
      <c r="CV24" s="44" t="str">
        <f>CT24</f>
        <v>7 FN 0: Q1 =+13</v>
      </c>
      <c r="CW24" s="44" t="str">
        <f>CU24</f>
        <v>WHILE[#2LT#1]DO1</v>
      </c>
      <c r="CX24" s="127" t="str">
        <f>CT24</f>
        <v>7 FN 0: Q1 =+13</v>
      </c>
      <c r="CY24" s="44" t="str">
        <f>CONCATENATE(FT24,FU24,FV24,FW24,FX24,FY24,FZ24,GA24,GB24,GC24,GD24,GE24)</f>
        <v>G03 X5.032 Y-5.048 Z0.5 I5.032 J-0.016</v>
      </c>
      <c r="CZ24" s="127" t="str">
        <f>CONCATENATE(CD24,DR91,GB18,FT91,GD18)</f>
        <v>7 CC IX-5 IY+0.016</v>
      </c>
      <c r="DA24" s="44" t="str">
        <f>CONCATENATE(GG24,GH24,GI24,GJ24,GK24,GL24,GM24,GN24,GO24,GP24,GQ24,GR24)</f>
        <v>G03 X4.678 Y-4.694 Z0.5 I4.678 J-0.016</v>
      </c>
      <c r="DB24" s="127" t="str">
        <f>CONCATENATE(CD24,DR91,GO18,FT91,GQ18)</f>
        <v>7 CC IX-4.646 IY+0.016</v>
      </c>
      <c r="DC24" s="44" t="str">
        <f>CONCATENATE(GT24,GU24,GV24,GW24,GX24,GY24,GZ24,HA24,HB24,HC24,HD24,HE24)</f>
        <v>G03 X4.492 Y-4.508 Z0.5 I4.492 J-0.016</v>
      </c>
      <c r="DD24" s="127" t="str">
        <f>CONCATENATE(CD24,DR91,HB18,FT91,HD18)</f>
        <v>7 CC IX-4.46 IY+0.016</v>
      </c>
      <c r="DE24" s="44" t="str">
        <f>CONCATENATE(DR21,DS21,DT21,HG15,DV21,DW21,DX21,DY21,DZ21,EA21,EB21,EC21)</f>
        <v>G03 X-2.5 C2.5 Z0.25 I-2.5 J0.</v>
      </c>
      <c r="DF24" s="44" t="str">
        <f>CONCATENATE(EE21,EF21,EG21,HI15,EI21,EJ21,EK21,EL21,EM21,EN21,EO21,EP21)</f>
        <v>G03 X-2.323 C2.323 Z0.25 I-2.323 J0.</v>
      </c>
      <c r="DG24" s="44" t="str">
        <f>CONCATENATE(ER21,ES21,ET21,HK15,EV21,EW21,EX21,EY21,EZ21,FA21,FB21,FC21)</f>
        <v>G03 X-2.23 C2.23 Z0.25 I-2.23 J0.</v>
      </c>
      <c r="DH24" s="44" t="str">
        <f ca="1">DE15</f>
        <v>G01 G41 X2.5 C-2.5 F129</v>
      </c>
      <c r="DI24" s="44" t="str">
        <f ca="1">DF15</f>
        <v>G01 G41 X2.323 C-2.323 F124</v>
      </c>
      <c r="DJ24" s="44" t="str">
        <f ca="1">DG15</f>
        <v>G01 G41 X2.23 C-2.23 F122</v>
      </c>
      <c r="DK24" s="44" t="str">
        <f>CS21</f>
        <v>#2=0</v>
      </c>
      <c r="DL24" s="44" t="str">
        <f>DK24</f>
        <v>#2=0</v>
      </c>
      <c r="DM24" s="44" t="str">
        <f>DL24</f>
        <v>#2=0</v>
      </c>
      <c r="DN24" s="44" t="str">
        <f>CONCATENATE(FT21,FU21,FV21,HM24,FX21,FY21,FZ21,GA21,GB21,GC21,GD21,GE21)</f>
        <v>G03 X-5.032 C-5.016 Z0.5 I-0.016 J-5.016</v>
      </c>
      <c r="DO24" s="44" t="str">
        <f>CONCATENATE(GG21,GH21,GI21,HO24,GK21,GL21,GM21,GN21,GO21,GP21,GQ21,GR21)</f>
        <v>G03 X-4.678 C-4.662 Z0.5 I-0.016 J-4.662</v>
      </c>
      <c r="DP24" s="44" t="str">
        <f>CONCATENATE(GT21,GU21,GV21,HQ24,GX21,GY21,GZ21,HA21,HB21,HC21,HD21,HE21)</f>
        <v>G03 X-4.492-4.476 Z0.5 I-0.016 J-4.476</v>
      </c>
      <c r="DQ24" s="49">
        <v>7</v>
      </c>
      <c r="DR24" s="18" t="s">
        <v>543</v>
      </c>
      <c r="DS24" s="18" t="s">
        <v>537</v>
      </c>
      <c r="DT24" s="18" t="s">
        <v>545</v>
      </c>
      <c r="DU24" s="18" t="str">
        <f>SUBSTITUTE(DU22,",",".")</f>
        <v>-2.5</v>
      </c>
      <c r="DV24" s="18" t="str">
        <f>IF(DU22=DU23,". Y"," Y")</f>
        <v xml:space="preserve"> Y</v>
      </c>
      <c r="DW24" s="18" t="str">
        <f>SUBSTITUTE(DW22,",",".")</f>
        <v>-2.5</v>
      </c>
      <c r="DX24" s="18" t="str">
        <f>IF(DW22=DW23,".","")</f>
        <v/>
      </c>
      <c r="DY24" s="18"/>
      <c r="DZ24" s="18"/>
      <c r="EA24" s="18"/>
      <c r="EB24" s="18"/>
      <c r="ED24" s="49">
        <v>7</v>
      </c>
      <c r="EE24" s="18" t="s">
        <v>543</v>
      </c>
      <c r="EF24" s="18" t="s">
        <v>537</v>
      </c>
      <c r="EG24" s="18" t="s">
        <v>545</v>
      </c>
      <c r="EH24" s="18" t="str">
        <f>SUBSTITUTE(EH22,",",".")</f>
        <v>-2.323</v>
      </c>
      <c r="EI24" s="18" t="str">
        <f>IF(EH22=EH23,". Y"," Y")</f>
        <v xml:space="preserve"> Y</v>
      </c>
      <c r="EJ24" s="18" t="str">
        <f>SUBSTITUTE(EJ22,",",".")</f>
        <v>-2.323</v>
      </c>
      <c r="EK24" s="18" t="str">
        <f>IF(EJ22=EJ23,".","")</f>
        <v/>
      </c>
      <c r="EL24" s="18"/>
      <c r="EM24" s="18"/>
      <c r="EN24" s="18"/>
      <c r="EO24" s="18"/>
      <c r="EP24" s="25"/>
      <c r="EQ24" s="49">
        <v>7</v>
      </c>
      <c r="ER24" s="18" t="s">
        <v>543</v>
      </c>
      <c r="ES24" s="18" t="s">
        <v>537</v>
      </c>
      <c r="ET24" s="18" t="s">
        <v>545</v>
      </c>
      <c r="EU24" s="18" t="str">
        <f>SUBSTITUTE(EU22,",",".")</f>
        <v>-2.23</v>
      </c>
      <c r="EV24" s="18" t="str">
        <f>IF(EU22=EU23,". Y"," Y")</f>
        <v xml:space="preserve"> Y</v>
      </c>
      <c r="EW24" s="18" t="str">
        <f>SUBSTITUTE(EW22,",",".")</f>
        <v>-2.23</v>
      </c>
      <c r="EX24" s="18" t="str">
        <f>IF(EW22=EW23,".","")</f>
        <v/>
      </c>
      <c r="EY24" s="18"/>
      <c r="EZ24" s="18"/>
      <c r="FA24" s="18"/>
      <c r="FB24" s="18"/>
      <c r="FC24" s="25"/>
      <c r="FS24" s="49">
        <v>7</v>
      </c>
      <c r="FT24" s="33" t="s">
        <v>546</v>
      </c>
      <c r="FU24" s="33" t="s">
        <v>545</v>
      </c>
      <c r="FV24" s="18" t="str">
        <f>SUBSTITUTE(FV22,",",".")</f>
        <v>5.032</v>
      </c>
      <c r="FW24" s="18" t="str">
        <f>IF(FV22=FV23,". Y"," Y")</f>
        <v xml:space="preserve"> Y</v>
      </c>
      <c r="FX24" s="18" t="str">
        <f>SUBSTITUTE(FX22,",",".")</f>
        <v>-5.048</v>
      </c>
      <c r="FY24" s="18" t="str">
        <f>IF(FX22=FX23,". Z"," Z")</f>
        <v xml:space="preserve"> Z</v>
      </c>
      <c r="FZ24" s="18" t="str">
        <f>SUBSTITUTE(FZ22,",",".")</f>
        <v>0.5</v>
      </c>
      <c r="GA24" s="18" t="str">
        <f>IF(FZ22=FZ23,". I"," I")</f>
        <v xml:space="preserve"> I</v>
      </c>
      <c r="GB24" s="18" t="str">
        <f>SUBSTITUTE(GB22,",",".")</f>
        <v>5.032</v>
      </c>
      <c r="GC24" s="18" t="str">
        <f>IF(GB22=GB23,". J"," J")</f>
        <v xml:space="preserve"> J</v>
      </c>
      <c r="GD24" s="18" t="str">
        <f>SUBSTITUTE(GD22,",",".")</f>
        <v>-0.016</v>
      </c>
      <c r="GE24" s="18" t="str">
        <f>IF(GD22=GD23,".","")</f>
        <v/>
      </c>
      <c r="GF24" s="49">
        <v>7</v>
      </c>
      <c r="GG24" s="33" t="s">
        <v>546</v>
      </c>
      <c r="GH24" s="33" t="s">
        <v>545</v>
      </c>
      <c r="GI24" s="18" t="str">
        <f>SUBSTITUTE(GI22,",",".")</f>
        <v>4.678</v>
      </c>
      <c r="GJ24" s="18" t="str">
        <f>IF(GI22=GI23,". Y"," Y")</f>
        <v xml:space="preserve"> Y</v>
      </c>
      <c r="GK24" s="18" t="str">
        <f>SUBSTITUTE(GK22,",",".")</f>
        <v>-4.694</v>
      </c>
      <c r="GL24" s="18" t="str">
        <f>IF(GK22=GK23,". Z"," Z")</f>
        <v xml:space="preserve"> Z</v>
      </c>
      <c r="GM24" s="18" t="str">
        <f>SUBSTITUTE(GM22,",",".")</f>
        <v>0.5</v>
      </c>
      <c r="GN24" s="18" t="str">
        <f>IF(GM22=GM23,". I"," I")</f>
        <v xml:space="preserve"> I</v>
      </c>
      <c r="GO24" s="18" t="str">
        <f>SUBSTITUTE(GO22,",",".")</f>
        <v>4.678</v>
      </c>
      <c r="GP24" s="18" t="str">
        <f>IF(GO22=GO23,". J"," J")</f>
        <v xml:space="preserve"> J</v>
      </c>
      <c r="GQ24" s="18" t="str">
        <f>SUBSTITUTE(GQ22,",",".")</f>
        <v>-0.016</v>
      </c>
      <c r="GR24" s="18" t="str">
        <f>IF(GQ22=GQ23,".","")</f>
        <v/>
      </c>
      <c r="GS24" s="49">
        <v>7</v>
      </c>
      <c r="GT24" s="33" t="s">
        <v>546</v>
      </c>
      <c r="GU24" s="33" t="s">
        <v>545</v>
      </c>
      <c r="GV24" s="18" t="str">
        <f>SUBSTITUTE(GV22,",",".")</f>
        <v>4.492</v>
      </c>
      <c r="GW24" s="18" t="str">
        <f>IF(GV22=GV23,". Y"," Y")</f>
        <v xml:space="preserve"> Y</v>
      </c>
      <c r="GX24" s="18" t="str">
        <f>SUBSTITUTE(GX22,",",".")</f>
        <v>-4.508</v>
      </c>
      <c r="GY24" s="18" t="str">
        <f>IF(GX22=GX23,". Z"," Z")</f>
        <v xml:space="preserve"> Z</v>
      </c>
      <c r="GZ24" s="18" t="str">
        <f>SUBSTITUTE(GZ22,",",".")</f>
        <v>0.5</v>
      </c>
      <c r="HA24" s="18" t="str">
        <f>IF(GZ22=GZ23,". I"," I")</f>
        <v xml:space="preserve"> I</v>
      </c>
      <c r="HB24" s="18" t="str">
        <f>SUBSTITUTE(HB22,",",".")</f>
        <v>4.492</v>
      </c>
      <c r="HC24" s="18" t="str">
        <f>IF(HB22=HB23,". J"," J")</f>
        <v xml:space="preserve"> J</v>
      </c>
      <c r="HD24" s="18" t="str">
        <f>SUBSTITUTE(HD22,",",".")</f>
        <v>-0.016</v>
      </c>
      <c r="HE24" s="18" t="str">
        <f>IF(HD22=HD23,".","")</f>
        <v/>
      </c>
      <c r="HL24" s="49">
        <v>7</v>
      </c>
      <c r="HM24" s="33" t="str">
        <f>IF(FV19=FV20,". C"," C")</f>
        <v xml:space="preserve"> C</v>
      </c>
      <c r="HN24" s="49">
        <v>7</v>
      </c>
      <c r="HO24" s="33" t="str">
        <f>IF(GI19=GI20,". C"," C")</f>
        <v xml:space="preserve"> C</v>
      </c>
      <c r="HP24" s="49">
        <v>7</v>
      </c>
    </row>
    <row r="25" spans="1:224" ht="19.95" customHeight="1">
      <c r="A25" s="144"/>
      <c r="B25" s="164" t="str">
        <f t="shared" si="25"/>
        <v>Fz = fogankénti előtolás (mm/fog)</v>
      </c>
      <c r="C25" s="176">
        <f ca="1">BN28</f>
        <v>3.2534964000000006E-2</v>
      </c>
      <c r="D25" s="177"/>
      <c r="E25" s="192">
        <v>11</v>
      </c>
      <c r="F25" s="143"/>
      <c r="G25" s="178">
        <f>BN128</f>
        <v>6.1903371641000252E-2</v>
      </c>
      <c r="H25" s="177"/>
      <c r="I25" s="193">
        <v>11</v>
      </c>
      <c r="J25" s="145"/>
      <c r="K25" s="145"/>
      <c r="M25" s="5"/>
      <c r="N25" s="34"/>
      <c r="O25" s="65"/>
      <c r="AE25" s="76"/>
      <c r="AH25" s="95"/>
      <c r="AK25" s="4">
        <v>24</v>
      </c>
      <c r="AL25" s="4">
        <v>1</v>
      </c>
      <c r="AM25" s="4">
        <v>1</v>
      </c>
      <c r="AN25" s="4">
        <v>8</v>
      </c>
      <c r="AO25" s="197" t="s">
        <v>2126</v>
      </c>
      <c r="AP25" s="198">
        <v>255</v>
      </c>
      <c r="AQ25">
        <v>10</v>
      </c>
      <c r="AR25">
        <v>10</v>
      </c>
      <c r="AS25">
        <v>3</v>
      </c>
      <c r="AT25">
        <v>18</v>
      </c>
      <c r="AU25">
        <v>27.52</v>
      </c>
      <c r="AV25">
        <v>76</v>
      </c>
      <c r="AW25">
        <v>11.9</v>
      </c>
      <c r="AY25" s="38">
        <f t="shared" si="0"/>
        <v>24</v>
      </c>
      <c r="AZ25" s="25" t="b">
        <f t="shared" si="1"/>
        <v>0</v>
      </c>
      <c r="BA25" s="25">
        <f t="shared" si="2"/>
        <v>24</v>
      </c>
      <c r="BB25" s="25" t="b">
        <f t="shared" si="3"/>
        <v>0</v>
      </c>
      <c r="BC25" s="25" t="b">
        <f t="shared" si="4"/>
        <v>0</v>
      </c>
      <c r="BD25" t="e">
        <f>LOOKUP(BE24,BC$2:BC$312)</f>
        <v>#N/A</v>
      </c>
      <c r="BE25" s="24" t="e">
        <f>BD25-1</f>
        <v>#N/A</v>
      </c>
      <c r="BF25" t="e">
        <f t="shared" si="5"/>
        <v>#N/A</v>
      </c>
      <c r="BG25" t="b">
        <f>ISNA(BF25)</f>
        <v>1</v>
      </c>
      <c r="BH25" t="str">
        <f t="shared" si="24"/>
        <v/>
      </c>
      <c r="BI25" s="25">
        <v>23</v>
      </c>
      <c r="BJ25" s="6">
        <v>138</v>
      </c>
      <c r="BK25" s="8">
        <v>1</v>
      </c>
      <c r="BM25" s="7" t="s">
        <v>811</v>
      </c>
      <c r="BN25" s="11">
        <f>BN24*1.25</f>
        <v>4.0668705000000006E-2</v>
      </c>
      <c r="BP25" s="14">
        <f t="shared" si="11"/>
        <v>19.688164771227406</v>
      </c>
      <c r="BQ25" s="11">
        <f t="shared" si="12"/>
        <v>8.1402749386839904E-2</v>
      </c>
      <c r="BS25" s="10"/>
      <c r="BT25" s="10">
        <f ca="1">(BX48+0.5)*BT24*0.67</f>
        <v>379.89000000000004</v>
      </c>
      <c r="CA25" s="33">
        <v>1000122</v>
      </c>
      <c r="CB25" s="33">
        <f t="shared" ca="1" si="23"/>
        <v>0</v>
      </c>
      <c r="CD25" s="39"/>
      <c r="CE25" s="45"/>
      <c r="CF25" s="45"/>
      <c r="CR25" s="44"/>
      <c r="DQ25" s="49"/>
      <c r="DR25" s="18"/>
      <c r="DS25" s="18"/>
      <c r="DT25" s="11">
        <f>-DU7-DX13-DX16-DX19</f>
        <v>102.5</v>
      </c>
      <c r="DU25" s="18"/>
      <c r="DV25" s="18"/>
      <c r="DW25" s="18"/>
      <c r="DX25" s="18"/>
      <c r="DY25" s="18"/>
      <c r="DZ25" s="18"/>
      <c r="EA25" s="18"/>
      <c r="EB25" s="18"/>
      <c r="ED25" s="49"/>
      <c r="EE25" s="18"/>
      <c r="EF25" s="18"/>
      <c r="EG25" s="11">
        <f>-EK13-EK16-EK19</f>
        <v>-2.5</v>
      </c>
      <c r="EH25" s="18"/>
      <c r="EI25" s="18"/>
      <c r="EJ25" s="18"/>
      <c r="EK25" s="18"/>
      <c r="EL25" s="18"/>
      <c r="EM25" s="18"/>
      <c r="EN25" s="18"/>
      <c r="EO25" s="18"/>
      <c r="EP25" s="25"/>
      <c r="EQ25" s="49"/>
      <c r="ER25" s="18"/>
      <c r="ES25" s="18"/>
      <c r="ET25" s="11">
        <f>-EX13-EX16-EX19</f>
        <v>-2.5</v>
      </c>
      <c r="EU25" s="18"/>
      <c r="EV25" s="18"/>
      <c r="EW25" s="18"/>
      <c r="EX25" s="18"/>
      <c r="EY25" s="18"/>
      <c r="EZ25" s="18"/>
      <c r="FA25" s="18"/>
      <c r="FB25" s="18"/>
      <c r="FC25" s="25"/>
      <c r="FV25" s="33">
        <f>-(FX22+GD22)</f>
        <v>5.0640000000000001</v>
      </c>
      <c r="FX25" s="33">
        <f>-FX22</f>
        <v>5.048</v>
      </c>
      <c r="FZ25" s="33">
        <f>FZ16</f>
        <v>0.5</v>
      </c>
      <c r="GB25" s="33">
        <f>GD16</f>
        <v>1.6E-2</v>
      </c>
      <c r="GD25" s="33">
        <f>FX25</f>
        <v>5.048</v>
      </c>
      <c r="GI25" s="33">
        <f>-(GK22+GQ22)</f>
        <v>4.71</v>
      </c>
      <c r="GK25" s="33">
        <f>-GK22</f>
        <v>4.694</v>
      </c>
      <c r="GM25" s="33">
        <f>GM16</f>
        <v>0.5</v>
      </c>
      <c r="GO25" s="33">
        <f>GQ16</f>
        <v>1.6E-2</v>
      </c>
      <c r="GQ25" s="33">
        <f>GK25</f>
        <v>4.694</v>
      </c>
      <c r="GV25" s="33">
        <f>-(GX22+HD22)</f>
        <v>4.524</v>
      </c>
      <c r="GX25" s="33">
        <f>-GX22</f>
        <v>4.508</v>
      </c>
      <c r="GZ25" s="33">
        <f>GZ16</f>
        <v>0.5</v>
      </c>
      <c r="HB25" s="33">
        <f>HD16</f>
        <v>1.6E-2</v>
      </c>
      <c r="HD25" s="33">
        <f>GX25</f>
        <v>4.508</v>
      </c>
      <c r="HL25" s="49"/>
      <c r="HN25" s="49"/>
    </row>
    <row r="26" spans="1:224" ht="19.95" customHeight="1">
      <c r="A26" s="144"/>
      <c r="B26" s="164" t="str">
        <f t="shared" si="25"/>
        <v>Fogások száma, radiális (max 3)</v>
      </c>
      <c r="C26" s="169">
        <f>BX30</f>
        <v>2</v>
      </c>
      <c r="D26" s="179"/>
      <c r="E26" s="192">
        <v>12</v>
      </c>
      <c r="F26" s="143"/>
      <c r="G26" s="171">
        <f>BX130</f>
        <v>1</v>
      </c>
      <c r="H26" s="179"/>
      <c r="I26" s="193">
        <v>12</v>
      </c>
      <c r="J26" s="144"/>
      <c r="K26" s="144"/>
      <c r="M26" s="5"/>
      <c r="N26" s="34"/>
      <c r="O26" s="65"/>
      <c r="AE26" s="76"/>
      <c r="AH26" s="95"/>
      <c r="AK26" s="4">
        <v>25</v>
      </c>
      <c r="AL26" s="4">
        <v>1</v>
      </c>
      <c r="AM26" s="4">
        <v>1</v>
      </c>
      <c r="AN26" s="4">
        <v>8</v>
      </c>
      <c r="AO26" s="197" t="s">
        <v>2127</v>
      </c>
      <c r="AP26" s="198">
        <v>200.6</v>
      </c>
      <c r="AQ26">
        <v>8</v>
      </c>
      <c r="AR26">
        <v>8</v>
      </c>
      <c r="AS26">
        <v>3</v>
      </c>
      <c r="AT26">
        <v>20</v>
      </c>
      <c r="AU26">
        <v>20.96</v>
      </c>
      <c r="AV26">
        <v>63</v>
      </c>
      <c r="AW26">
        <v>9.6999999999999993</v>
      </c>
      <c r="AY26" s="38">
        <f t="shared" si="0"/>
        <v>25</v>
      </c>
      <c r="AZ26" s="25" t="b">
        <f t="shared" si="1"/>
        <v>0</v>
      </c>
      <c r="BA26" s="25" t="b">
        <f t="shared" si="2"/>
        <v>0</v>
      </c>
      <c r="BB26" s="25" t="b">
        <f t="shared" si="3"/>
        <v>0</v>
      </c>
      <c r="BC26" s="25" t="b">
        <f t="shared" si="4"/>
        <v>0</v>
      </c>
      <c r="BI26" s="25">
        <v>24</v>
      </c>
      <c r="BJ26" s="6">
        <v>63</v>
      </c>
      <c r="BK26" s="8">
        <v>0.8</v>
      </c>
      <c r="BN26" s="11">
        <f>IF(BN29=1,BN23,IF(BN29=2,BN24,IF(BN29=3,BN25)))</f>
        <v>3.2534964000000006E-2</v>
      </c>
      <c r="BP26" s="14">
        <f t="shared" si="11"/>
        <v>21.853862896062424</v>
      </c>
      <c r="BQ26" s="11">
        <f t="shared" si="12"/>
        <v>8.9543024325523898E-2</v>
      </c>
      <c r="BS26" s="10"/>
      <c r="BT26" s="10">
        <f ca="1">ROUND(BT25,1)</f>
        <v>379.9</v>
      </c>
      <c r="CA26" s="33">
        <v>1000132</v>
      </c>
      <c r="CB26" s="33">
        <f t="shared" ca="1" si="23"/>
        <v>0</v>
      </c>
      <c r="CD26" s="39"/>
      <c r="CE26" s="45"/>
      <c r="CF26" s="45"/>
      <c r="CR26" s="44"/>
      <c r="DT26" s="25">
        <f>INT(DT25)</f>
        <v>102</v>
      </c>
      <c r="ED26" s="46"/>
      <c r="EE26"/>
      <c r="EF26"/>
      <c r="EG26" s="25">
        <f>INT(EG25)</f>
        <v>-3</v>
      </c>
      <c r="EH26"/>
      <c r="EI26"/>
      <c r="EJ26"/>
      <c r="EK26"/>
      <c r="EL26"/>
      <c r="EM26"/>
      <c r="EN26"/>
      <c r="EO26"/>
      <c r="EP26" s="25"/>
      <c r="ET26" s="25">
        <f>INT(ET25)</f>
        <v>-3</v>
      </c>
      <c r="FC26" s="25"/>
      <c r="FV26" s="25">
        <f>INT(FV25)</f>
        <v>5</v>
      </c>
      <c r="FX26" s="25">
        <f>INT(FX25)</f>
        <v>5</v>
      </c>
      <c r="FZ26" s="25">
        <f>INT(FZ25)</f>
        <v>0</v>
      </c>
      <c r="GB26" s="25">
        <f>INT(GB25)</f>
        <v>0</v>
      </c>
      <c r="GD26" s="25">
        <f>INT(GD25)</f>
        <v>5</v>
      </c>
      <c r="GI26" s="25">
        <f>INT(GI25)</f>
        <v>4</v>
      </c>
      <c r="GK26" s="25">
        <f>INT(GK25)</f>
        <v>4</v>
      </c>
      <c r="GM26" s="25">
        <f>INT(GM25)</f>
        <v>0</v>
      </c>
      <c r="GO26" s="25">
        <f>INT(GO25)</f>
        <v>0</v>
      </c>
      <c r="GQ26" s="25">
        <f>INT(GQ25)</f>
        <v>4</v>
      </c>
      <c r="GV26" s="25">
        <f>INT(GV25)</f>
        <v>4</v>
      </c>
      <c r="GX26" s="25">
        <f>INT(GX25)</f>
        <v>4</v>
      </c>
      <c r="GZ26" s="25">
        <f>INT(GZ25)</f>
        <v>0</v>
      </c>
      <c r="HB26" s="25">
        <f>INT(HB25)</f>
        <v>0</v>
      </c>
      <c r="HD26" s="25">
        <f>INT(HD25)</f>
        <v>4</v>
      </c>
    </row>
    <row r="27" spans="1:224" ht="19.95" customHeight="1">
      <c r="A27" s="144"/>
      <c r="B27" s="164" t="str">
        <f t="shared" si="25"/>
        <v>Fogások száma, axiális</v>
      </c>
      <c r="C27" s="180">
        <f ca="1">IF(BX42=2,BX48,BX9)</f>
        <v>1</v>
      </c>
      <c r="D27" s="181"/>
      <c r="E27" s="161"/>
      <c r="F27" s="143"/>
      <c r="G27" s="182">
        <f>IF(BX142=2,BX148,BX109)</f>
        <v>1</v>
      </c>
      <c r="H27" s="183"/>
      <c r="I27" s="152"/>
      <c r="J27" s="144"/>
      <c r="K27" s="144"/>
      <c r="L27" s="61">
        <v>10</v>
      </c>
      <c r="M27" s="5" t="str">
        <f t="shared" si="8"/>
        <v>Acél, széntartalom &lt; 0,25%, &lt; 400 N/mm2</v>
      </c>
      <c r="N27" s="5" t="s">
        <v>1857</v>
      </c>
      <c r="O27" s="65" t="s">
        <v>996</v>
      </c>
      <c r="P27" s="5" t="s">
        <v>1071</v>
      </c>
      <c r="Q27" s="5" t="s">
        <v>1203</v>
      </c>
      <c r="R27" s="5" t="s">
        <v>686</v>
      </c>
      <c r="S27" s="5" t="s">
        <v>802</v>
      </c>
      <c r="T27" t="s">
        <v>1668</v>
      </c>
      <c r="U27" s="34" t="s">
        <v>325</v>
      </c>
      <c r="V27" s="5" t="s">
        <v>1137</v>
      </c>
      <c r="W27" s="5" t="s">
        <v>1730</v>
      </c>
      <c r="X27" s="5" t="s">
        <v>1215</v>
      </c>
      <c r="Y27" s="34" t="s">
        <v>1445</v>
      </c>
      <c r="Z27" s="5" t="s">
        <v>339</v>
      </c>
      <c r="AA27" s="5" t="s">
        <v>1335</v>
      </c>
      <c r="AB27" s="34" t="s">
        <v>641</v>
      </c>
      <c r="AC27" s="34" t="s">
        <v>81</v>
      </c>
      <c r="AD27" s="5" t="s">
        <v>714</v>
      </c>
      <c r="AE27" s="76" t="s">
        <v>1317</v>
      </c>
      <c r="AF27" s="90" t="s">
        <v>1329</v>
      </c>
      <c r="AG27" s="79" t="s">
        <v>472</v>
      </c>
      <c r="AH27" s="94" t="s">
        <v>106</v>
      </c>
      <c r="AI27" s="85" t="s">
        <v>150</v>
      </c>
      <c r="AK27" s="4">
        <v>26</v>
      </c>
      <c r="AL27" s="4">
        <v>2</v>
      </c>
      <c r="AM27" s="4">
        <v>4</v>
      </c>
      <c r="AN27" s="4">
        <v>6</v>
      </c>
      <c r="AO27" s="197" t="s">
        <v>2128</v>
      </c>
      <c r="AP27" s="198">
        <v>200.6</v>
      </c>
      <c r="AQ27">
        <v>8</v>
      </c>
      <c r="AR27">
        <v>8</v>
      </c>
      <c r="AS27">
        <v>3</v>
      </c>
      <c r="AT27">
        <v>18</v>
      </c>
      <c r="AU27">
        <v>16.23</v>
      </c>
      <c r="AV27">
        <v>63</v>
      </c>
      <c r="AW27">
        <v>10.5</v>
      </c>
      <c r="AY27" s="38">
        <f t="shared" si="0"/>
        <v>26</v>
      </c>
      <c r="AZ27" s="25" t="b">
        <f t="shared" si="1"/>
        <v>0</v>
      </c>
      <c r="BA27" s="25" t="b">
        <f t="shared" si="2"/>
        <v>0</v>
      </c>
      <c r="BB27" s="25" t="b">
        <f t="shared" si="3"/>
        <v>0</v>
      </c>
      <c r="BC27" s="25" t="b">
        <f t="shared" si="4"/>
        <v>0</v>
      </c>
      <c r="BI27" s="25">
        <v>25</v>
      </c>
      <c r="BJ27" s="6">
        <v>625</v>
      </c>
      <c r="BK27" s="8">
        <v>1.4</v>
      </c>
      <c r="BM27" s="7" t="s">
        <v>985</v>
      </c>
      <c r="BN27" s="11">
        <f>(BX48*0.33)*BN26</f>
        <v>0.13957499556000003</v>
      </c>
      <c r="BP27" s="14">
        <f t="shared" si="11"/>
        <v>24.257787814629292</v>
      </c>
      <c r="BQ27" s="11">
        <f t="shared" si="12"/>
        <v>9.8497326758076292E-2</v>
      </c>
      <c r="BS27" s="10"/>
      <c r="BT27" s="10">
        <f ca="1">ROUND(BT25,0)</f>
        <v>380</v>
      </c>
      <c r="CA27" s="33">
        <v>1001012</v>
      </c>
      <c r="CB27" s="33">
        <f t="shared" ca="1" si="23"/>
        <v>0</v>
      </c>
      <c r="CD27" s="39">
        <v>8</v>
      </c>
      <c r="CE27" s="45" t="str">
        <f ca="1">LOOKUP(CB$54,CF$5:DP$5,CF27:DP27)</f>
        <v>G00 Z-2.5</v>
      </c>
      <c r="CF27" s="45"/>
      <c r="CG27" s="44" t="str">
        <f>CONCATENATE(DR27,DS27,DT27,DU27)</f>
        <v>G00 Z102.5</v>
      </c>
      <c r="CH27" s="44" t="str">
        <f>CONCATENATE(CD27,DR94,DS94,DT94)</f>
        <v>8 CP IPA+360 IZ+2 DR+</v>
      </c>
      <c r="CI27" s="44" t="str">
        <f>CONCATENATE(EE27,EF27,EG27,EH27)</f>
        <v>G00 Z-2.5</v>
      </c>
      <c r="CJ27" s="44" t="str">
        <f>CH27</f>
        <v>8 CP IPA+360 IZ+2 DR+</v>
      </c>
      <c r="CK27" s="44" t="str">
        <f>CONCATENATE(ER27,ES27,ET27,EU27)</f>
        <v>G00 Z-2.5</v>
      </c>
      <c r="CL27" s="44" t="str">
        <f>CJ27</f>
        <v>8 CP IPA+360 IZ+2 DR+</v>
      </c>
      <c r="CM27" s="44" t="str">
        <f>CG18</f>
        <v>G03 X0. Y0. Z2. I-5. J0.</v>
      </c>
      <c r="CN27" s="44" t="str">
        <f>CONCATENATE(CD27,DR85,DS85)</f>
        <v>8 CC IX+0 IY+2.5</v>
      </c>
      <c r="CO27" s="44" t="str">
        <f>CI18</f>
        <v>G03 X0. Y0. Z2. I-4.646 J0.</v>
      </c>
      <c r="CP27" s="44" t="str">
        <f>CONCATENATE(CD27,EE85,EF85)</f>
        <v>8 CC IX+0 IY+2.323</v>
      </c>
      <c r="CQ27" s="4" t="str">
        <f>CK18</f>
        <v>G03 X0. Y0. Z2. I-4.46 J0.</v>
      </c>
      <c r="CR27" s="4" t="str">
        <f>CONCATENATE(CD27,ER85,ES85)</f>
        <v>8 CC IX+0 IY+2.23</v>
      </c>
      <c r="CS27" s="4" t="str">
        <f>CG18</f>
        <v>G03 X0. Y0. Z2. I-5. J0.</v>
      </c>
      <c r="CT27" s="44" t="str">
        <f>CONCATENATE(CD27,FE85)</f>
        <v>8 FN 0: Q2 =+0</v>
      </c>
      <c r="CU27" s="44" t="str">
        <f>CI18</f>
        <v>G03 X0. Y0. Z2. I-4.646 J0.</v>
      </c>
      <c r="CV27" s="44" t="str">
        <f>CT27</f>
        <v>8 FN 0: Q2 =+0</v>
      </c>
      <c r="CW27" s="44" t="str">
        <f>CK18</f>
        <v>G03 X0. Y0. Z2. I-4.46 J0.</v>
      </c>
      <c r="CX27" s="127" t="str">
        <f>CT27</f>
        <v>8 FN 0: Q2 =+0</v>
      </c>
      <c r="CY27" s="44" t="str">
        <f>CONCATENATE(FT27,FU27,FV27,FW27,FX27,FY27,FZ27,GA27,GB27,GC27,GD27,GE27)</f>
        <v>G03 X5.064 Y5.048 Z0.5 I0.016 J5.048</v>
      </c>
      <c r="CZ27" s="127" t="str">
        <f>CONCATENATE(CD27,DR88,FZ18,DT88)</f>
        <v>8 CP IPA+90 IZ+0.5 DR+</v>
      </c>
      <c r="DA27" s="44" t="str">
        <f>CONCATENATE(GG27,GH27,GI27,GJ27,GK27,GL27,GM27,GN27,GO27,GP27,GQ27,GR27)</f>
        <v>G03 X4.71 Y4.694 Z0.5 I0.016 J4.694</v>
      </c>
      <c r="DB27" s="127" t="str">
        <f>CZ27</f>
        <v>8 CP IPA+90 IZ+0.5 DR+</v>
      </c>
      <c r="DC27" s="44" t="str">
        <f>CONCATENATE(GT27,GU27,GV27,GW27,GX27,GY27,GZ27,HA27,HB27,HC27,HD27,HE27)</f>
        <v>G03 X4.524 Y4.508 Z0.5 I0.016 J4.508</v>
      </c>
      <c r="DD27" s="127" t="str">
        <f>DB27</f>
        <v>8 CP IPA+90 IZ+0.5 DR+</v>
      </c>
      <c r="DE27" s="44" t="str">
        <f>CONCATENATE(DR24,DS24,DT24,DU24,HG15,DW24,DX24)</f>
        <v>G01 G40 X-2.5 C-2.5</v>
      </c>
      <c r="DF27" s="44" t="str">
        <f>CONCATENATE(EE24,EF24,EG24,EH24,HI15,EJ24,EK24)</f>
        <v>G01 G40 X-2.323 C-2.323</v>
      </c>
      <c r="DG27" s="44" t="str">
        <f>CONCATENATE(ER24,ES24,ET24,EU24,HK15,EW24,EX24)</f>
        <v>G01 G40 X-2.23 C-2.23</v>
      </c>
      <c r="DH27" s="44" t="str">
        <f>DE18</f>
        <v>G03 X2.5 C2.5 Z0.25 I0. J2.5</v>
      </c>
      <c r="DI27" s="44" t="str">
        <f>DF18</f>
        <v>G03 X2.323 C2.323 Z0.25 I0. J2.323</v>
      </c>
      <c r="DJ27" s="44" t="str">
        <f>DG18</f>
        <v>G03 X2.23 C2.23 Z0.25 I0. J2.23</v>
      </c>
      <c r="DK27" s="44" t="str">
        <f>CS24</f>
        <v>WHILE[#2LT#1]DO1</v>
      </c>
      <c r="DL27" s="44" t="str">
        <f>DK27</f>
        <v>WHILE[#2LT#1]DO1</v>
      </c>
      <c r="DM27" s="44" t="str">
        <f>DL27</f>
        <v>WHILE[#2LT#1]DO1</v>
      </c>
      <c r="DN27" s="44" t="str">
        <f>CONCATENATE(FT24,FU24,FV24,HM27,FX24,FY24,FZ24,GA24,GB24,GC24,GD24,GE24)</f>
        <v>G03 X5.032 C-5.048 Z0.5 I5.032 J-0.016</v>
      </c>
      <c r="DO27" s="44" t="str">
        <f>CONCATENATE(GG24,GH24,GI24,HO27,GK24,GL24,GM24,GN24,GO24,GP24,GQ24,GR24)</f>
        <v>G03 X4.678 C-4.694 Z0.5 I4.678 J-0.016</v>
      </c>
      <c r="DP27" s="44" t="str">
        <f>CONCATENATE(GT24,GU24,GV24,HQ27,GX24,GY24,GZ24,HA24,HB24,HC24,HD24,HE24)</f>
        <v>G03 X4.492-4.508 Z0.5 I4.492 J-0.016</v>
      </c>
      <c r="DQ27" s="49">
        <v>8</v>
      </c>
      <c r="DR27" s="18" t="s">
        <v>540</v>
      </c>
      <c r="DS27" s="18" t="s">
        <v>542</v>
      </c>
      <c r="DT27" s="18" t="str">
        <f>SUBSTITUTE(DT25,",",".")</f>
        <v>102.5</v>
      </c>
      <c r="DU27" s="18" t="str">
        <f>IF(DT25=DT26,".","")</f>
        <v/>
      </c>
      <c r="DV27" s="18"/>
      <c r="DW27" s="18"/>
      <c r="DX27" s="18"/>
      <c r="DY27" s="18"/>
      <c r="DZ27" s="18"/>
      <c r="EA27" s="18"/>
      <c r="EB27" s="18"/>
      <c r="ED27" s="49">
        <v>8</v>
      </c>
      <c r="EE27" s="18" t="s">
        <v>540</v>
      </c>
      <c r="EF27" s="18" t="s">
        <v>542</v>
      </c>
      <c r="EG27" s="18" t="str">
        <f>SUBSTITUTE(EG25,",",".")</f>
        <v>-2.5</v>
      </c>
      <c r="EH27" s="18" t="str">
        <f>IF(EG25=EG26,".","")</f>
        <v/>
      </c>
      <c r="EI27" s="18"/>
      <c r="EJ27" s="18"/>
      <c r="EK27" s="18"/>
      <c r="EL27" s="18"/>
      <c r="EM27" s="18"/>
      <c r="EN27" s="18"/>
      <c r="EO27" s="18"/>
      <c r="EP27" s="25"/>
      <c r="EQ27" s="49">
        <v>8</v>
      </c>
      <c r="ER27" s="18" t="s">
        <v>540</v>
      </c>
      <c r="ES27" s="18" t="s">
        <v>542</v>
      </c>
      <c r="ET27" s="18" t="str">
        <f>SUBSTITUTE(ET25,",",".")</f>
        <v>-2.5</v>
      </c>
      <c r="EU27" s="18" t="str">
        <f>IF(ET25=ET26,".","")</f>
        <v/>
      </c>
      <c r="EV27" s="18"/>
      <c r="EW27" s="18"/>
      <c r="EX27" s="18"/>
      <c r="EY27" s="18"/>
      <c r="EZ27" s="18"/>
      <c r="FA27" s="18"/>
      <c r="FB27" s="18"/>
      <c r="FC27" s="25"/>
      <c r="FS27" s="49">
        <v>8</v>
      </c>
      <c r="FT27" s="33" t="s">
        <v>546</v>
      </c>
      <c r="FU27" s="33" t="s">
        <v>545</v>
      </c>
      <c r="FV27" s="18" t="str">
        <f>SUBSTITUTE(FV25,",",".")</f>
        <v>5.064</v>
      </c>
      <c r="FW27" s="18" t="str">
        <f>IF(FV25=FV26,". Y"," Y")</f>
        <v xml:space="preserve"> Y</v>
      </c>
      <c r="FX27" s="18" t="str">
        <f>SUBSTITUTE(FX25,",",".")</f>
        <v>5.048</v>
      </c>
      <c r="FY27" s="18" t="str">
        <f>IF(FX25=FX26,". Z"," Z")</f>
        <v xml:space="preserve"> Z</v>
      </c>
      <c r="FZ27" s="18" t="str">
        <f>SUBSTITUTE(FZ25,",",".")</f>
        <v>0.5</v>
      </c>
      <c r="GA27" s="18" t="str">
        <f>IF(FZ25=FZ26,". I"," I")</f>
        <v xml:space="preserve"> I</v>
      </c>
      <c r="GB27" s="18" t="str">
        <f>SUBSTITUTE(GB25,",",".")</f>
        <v>0.016</v>
      </c>
      <c r="GC27" s="18" t="str">
        <f>IF(GB25=GB26,". J"," J")</f>
        <v xml:space="preserve"> J</v>
      </c>
      <c r="GD27" s="18" t="str">
        <f>SUBSTITUTE(GD25,",",".")</f>
        <v>5.048</v>
      </c>
      <c r="GE27" s="18" t="str">
        <f>IF(GD25=GD26,".","")</f>
        <v/>
      </c>
      <c r="GF27" s="49">
        <v>8</v>
      </c>
      <c r="GG27" s="33" t="s">
        <v>546</v>
      </c>
      <c r="GH27" s="33" t="s">
        <v>545</v>
      </c>
      <c r="GI27" s="18" t="str">
        <f>SUBSTITUTE(GI25,",",".")</f>
        <v>4.71</v>
      </c>
      <c r="GJ27" s="18" t="str">
        <f>IF(GI25=GI26,". Y"," Y")</f>
        <v xml:space="preserve"> Y</v>
      </c>
      <c r="GK27" s="18" t="str">
        <f>SUBSTITUTE(GK25,",",".")</f>
        <v>4.694</v>
      </c>
      <c r="GL27" s="18" t="str">
        <f>IF(GK25=GK26,". Z"," Z")</f>
        <v xml:space="preserve"> Z</v>
      </c>
      <c r="GM27" s="18" t="str">
        <f>SUBSTITUTE(GM25,",",".")</f>
        <v>0.5</v>
      </c>
      <c r="GN27" s="18" t="str">
        <f>IF(GM25=GM26,". I"," I")</f>
        <v xml:space="preserve"> I</v>
      </c>
      <c r="GO27" s="18" t="str">
        <f>SUBSTITUTE(GO25,",",".")</f>
        <v>0.016</v>
      </c>
      <c r="GP27" s="18" t="str">
        <f>IF(GO25=GO26,". J"," J")</f>
        <v xml:space="preserve"> J</v>
      </c>
      <c r="GQ27" s="18" t="str">
        <f>SUBSTITUTE(GQ25,",",".")</f>
        <v>4.694</v>
      </c>
      <c r="GR27" s="18" t="str">
        <f>IF(GQ25=GQ26,".","")</f>
        <v/>
      </c>
      <c r="GS27" s="49">
        <v>8</v>
      </c>
      <c r="GT27" s="33" t="s">
        <v>546</v>
      </c>
      <c r="GU27" s="33" t="s">
        <v>545</v>
      </c>
      <c r="GV27" s="18" t="str">
        <f>SUBSTITUTE(GV25,",",".")</f>
        <v>4.524</v>
      </c>
      <c r="GW27" s="18" t="str">
        <f>IF(GV25=GV26,". Y"," Y")</f>
        <v xml:space="preserve"> Y</v>
      </c>
      <c r="GX27" s="18" t="str">
        <f>SUBSTITUTE(GX25,",",".")</f>
        <v>4.508</v>
      </c>
      <c r="GY27" s="18" t="str">
        <f>IF(GX25=GX26,". Z"," Z")</f>
        <v xml:space="preserve"> Z</v>
      </c>
      <c r="GZ27" s="18" t="str">
        <f>SUBSTITUTE(GZ25,",",".")</f>
        <v>0.5</v>
      </c>
      <c r="HA27" s="18" t="str">
        <f>IF(GZ25=GZ26,". I"," I")</f>
        <v xml:space="preserve"> I</v>
      </c>
      <c r="HB27" s="18" t="str">
        <f>SUBSTITUTE(HB25,",",".")</f>
        <v>0.016</v>
      </c>
      <c r="HC27" s="18" t="str">
        <f>IF(HB25=HB26,". J"," J")</f>
        <v xml:space="preserve"> J</v>
      </c>
      <c r="HD27" s="18" t="str">
        <f>SUBSTITUTE(HD25,",",".")</f>
        <v>4.508</v>
      </c>
      <c r="HE27" s="18" t="str">
        <f>IF(HD25=HD26,".","")</f>
        <v/>
      </c>
      <c r="HL27" s="49">
        <v>8</v>
      </c>
      <c r="HM27" s="33" t="str">
        <f>IF(FV22=FV23,". C"," C")</f>
        <v xml:space="preserve"> C</v>
      </c>
      <c r="HN27" s="49">
        <v>8</v>
      </c>
      <c r="HO27" s="33" t="str">
        <f>IF(GI22=GI23,". C"," C")</f>
        <v xml:space="preserve"> C</v>
      </c>
      <c r="HP27" s="49">
        <v>8</v>
      </c>
    </row>
    <row r="28" spans="1:224" ht="19.95" customHeight="1">
      <c r="A28" s="144"/>
      <c r="B28" s="164" t="str">
        <f t="shared" si="25"/>
        <v>N = orsó fordulatszám (fordulat/min)</v>
      </c>
      <c r="C28" s="184">
        <f>ROUND(BM5*1000/(3.141592654*BM13),0)</f>
        <v>2642</v>
      </c>
      <c r="D28" s="181"/>
      <c r="E28" s="161"/>
      <c r="F28" s="143"/>
      <c r="G28" s="185">
        <f>ROUND(BM105*1000/(3.141592654*BM113),0)</f>
        <v>1651</v>
      </c>
      <c r="H28" s="183"/>
      <c r="I28" s="152"/>
      <c r="J28" s="144"/>
      <c r="K28" s="144"/>
      <c r="L28" t="s">
        <v>1846</v>
      </c>
      <c r="M28" s="5" t="str">
        <f t="shared" si="8"/>
        <v>Acél, széntartalom &lt; 0,55%, &lt; 700 N/mm2</v>
      </c>
      <c r="N28" s="5" t="s">
        <v>1858</v>
      </c>
      <c r="O28" s="65" t="s">
        <v>1031</v>
      </c>
      <c r="P28" s="5" t="s">
        <v>878</v>
      </c>
      <c r="Q28" s="5" t="s">
        <v>1144</v>
      </c>
      <c r="R28" s="5" t="s">
        <v>899</v>
      </c>
      <c r="S28" s="5" t="s">
        <v>782</v>
      </c>
      <c r="T28" t="s">
        <v>1669</v>
      </c>
      <c r="U28" s="34" t="s">
        <v>326</v>
      </c>
      <c r="V28" s="5" t="s">
        <v>1138</v>
      </c>
      <c r="W28" s="5" t="s">
        <v>1731</v>
      </c>
      <c r="X28" s="5" t="s">
        <v>1272</v>
      </c>
      <c r="Y28" s="34" t="s">
        <v>1446</v>
      </c>
      <c r="Z28" s="5" t="s">
        <v>340</v>
      </c>
      <c r="AA28" s="5" t="s">
        <v>1336</v>
      </c>
      <c r="AB28" s="34" t="s">
        <v>642</v>
      </c>
      <c r="AC28" s="34" t="s">
        <v>82</v>
      </c>
      <c r="AD28" s="5" t="s">
        <v>626</v>
      </c>
      <c r="AE28" s="76" t="s">
        <v>1408</v>
      </c>
      <c r="AF28" s="90" t="s">
        <v>1410</v>
      </c>
      <c r="AG28" s="79" t="s">
        <v>473</v>
      </c>
      <c r="AH28" s="94" t="s">
        <v>191</v>
      </c>
      <c r="AI28" s="85" t="s">
        <v>151</v>
      </c>
      <c r="AK28" s="4">
        <v>27</v>
      </c>
      <c r="AL28" s="4">
        <v>2</v>
      </c>
      <c r="AM28" s="4">
        <v>4</v>
      </c>
      <c r="AN28" s="4">
        <v>5</v>
      </c>
      <c r="AO28" s="197" t="s">
        <v>2129</v>
      </c>
      <c r="AP28" s="198">
        <v>200.6</v>
      </c>
      <c r="AQ28">
        <v>8</v>
      </c>
      <c r="AR28">
        <v>8</v>
      </c>
      <c r="AS28">
        <v>3</v>
      </c>
      <c r="AT28">
        <v>18</v>
      </c>
      <c r="AU28">
        <v>16.23</v>
      </c>
      <c r="AV28">
        <v>63</v>
      </c>
      <c r="AW28">
        <v>10.5</v>
      </c>
      <c r="AY28" s="38">
        <f t="shared" si="0"/>
        <v>27</v>
      </c>
      <c r="AZ28" s="25" t="b">
        <f t="shared" si="1"/>
        <v>0</v>
      </c>
      <c r="BA28" s="25" t="b">
        <f t="shared" si="2"/>
        <v>0</v>
      </c>
      <c r="BB28" s="25" t="b">
        <f t="shared" si="3"/>
        <v>0</v>
      </c>
      <c r="BC28" s="25" t="b">
        <f t="shared" si="4"/>
        <v>0</v>
      </c>
      <c r="BI28" s="25">
        <v>26</v>
      </c>
      <c r="BJ28" s="6">
        <v>525</v>
      </c>
      <c r="BK28" s="8">
        <v>1.3</v>
      </c>
      <c r="BM28" s="7" t="s">
        <v>634</v>
      </c>
      <c r="BN28" s="11">
        <f ca="1">IF(CB8=1000,BN27,BN26)</f>
        <v>3.2534964000000006E-2</v>
      </c>
      <c r="BP28" s="14">
        <f t="shared" si="11"/>
        <v>26.926144474238516</v>
      </c>
      <c r="BQ28" s="11">
        <f t="shared" si="12"/>
        <v>0.10834705943388392</v>
      </c>
      <c r="BS28" s="7" t="s">
        <v>747</v>
      </c>
      <c r="BT28" s="21">
        <f ca="1">IF(BT25&gt;=10,BT27,BT26)</f>
        <v>380</v>
      </c>
      <c r="BW28" s="7" t="s">
        <v>937</v>
      </c>
      <c r="BX28" s="28">
        <f>BN3*BS65</f>
        <v>0.4867882317569972</v>
      </c>
      <c r="CA28" s="33">
        <v>1001022</v>
      </c>
      <c r="CB28" s="33">
        <f t="shared" ca="1" si="23"/>
        <v>0</v>
      </c>
      <c r="CD28" s="39"/>
      <c r="CR28" s="44"/>
      <c r="DQ28" s="49"/>
      <c r="DR28" s="18"/>
      <c r="DS28" s="18"/>
      <c r="DT28" s="18"/>
      <c r="DU28" s="18"/>
      <c r="DV28" s="18"/>
      <c r="DW28" s="18"/>
      <c r="DX28" s="18"/>
      <c r="DY28" s="18"/>
      <c r="DZ28" s="18"/>
      <c r="EA28" s="18"/>
      <c r="EB28" s="18"/>
      <c r="ED28" s="49"/>
      <c r="EE28" s="18"/>
      <c r="EF28" s="18"/>
      <c r="EG28" s="18"/>
      <c r="EH28" s="18"/>
      <c r="EI28" s="18"/>
      <c r="EJ28" s="18"/>
      <c r="EK28" s="18"/>
      <c r="EL28" s="18"/>
      <c r="EM28" s="18"/>
      <c r="EN28" s="18"/>
      <c r="EO28" s="18"/>
      <c r="EP28" s="18"/>
      <c r="EQ28" s="49"/>
      <c r="ER28" s="18"/>
      <c r="ES28" s="18"/>
      <c r="ET28" s="18"/>
      <c r="EU28" s="18">
        <f>BY69</f>
        <v>2.3929999999999998</v>
      </c>
      <c r="EV28" s="18"/>
      <c r="EW28" s="18">
        <f>-BY69</f>
        <v>-2.3929999999999998</v>
      </c>
      <c r="EX28" s="18"/>
      <c r="EY28" s="18"/>
      <c r="EZ28" s="18"/>
      <c r="FA28" s="18"/>
      <c r="FB28" s="18"/>
      <c r="FC28" s="25"/>
    </row>
    <row r="29" spans="1:224" ht="19.95" customHeight="1">
      <c r="A29" s="144"/>
      <c r="B29" s="164" t="str">
        <f t="shared" si="25"/>
        <v>FD = előtolás a menetátmérőnél (mm/min)</v>
      </c>
      <c r="C29" s="180">
        <f ca="1">ROUND(BN31*BM15*C28,0)</f>
        <v>258</v>
      </c>
      <c r="D29" s="181"/>
      <c r="E29" s="161"/>
      <c r="F29" s="143"/>
      <c r="G29" s="182">
        <f>ROUND(BN131*BM115*G28,0)</f>
        <v>511</v>
      </c>
      <c r="H29" s="183"/>
      <c r="I29" s="152"/>
      <c r="J29" s="144"/>
      <c r="K29" s="144"/>
      <c r="L29" t="s">
        <v>644</v>
      </c>
      <c r="M29" s="5" t="str">
        <f t="shared" si="8"/>
        <v>Acél, széntartalom &lt; 0,85%, &lt; 850 N/mm2</v>
      </c>
      <c r="N29" s="5" t="s">
        <v>1859</v>
      </c>
      <c r="O29" s="65" t="s">
        <v>1033</v>
      </c>
      <c r="P29" s="5" t="s">
        <v>978</v>
      </c>
      <c r="Q29" s="5" t="s">
        <v>1145</v>
      </c>
      <c r="R29" s="5" t="s">
        <v>742</v>
      </c>
      <c r="S29" s="5" t="s">
        <v>675</v>
      </c>
      <c r="T29" t="s">
        <v>1670</v>
      </c>
      <c r="U29" s="34" t="s">
        <v>327</v>
      </c>
      <c r="V29" s="5" t="s">
        <v>1236</v>
      </c>
      <c r="W29" s="5" t="s">
        <v>1732</v>
      </c>
      <c r="X29" s="5" t="s">
        <v>1226</v>
      </c>
      <c r="Y29" s="34" t="s">
        <v>1447</v>
      </c>
      <c r="Z29" s="5" t="s">
        <v>341</v>
      </c>
      <c r="AA29" s="5" t="s">
        <v>1448</v>
      </c>
      <c r="AB29" s="34" t="s">
        <v>570</v>
      </c>
      <c r="AC29" s="34" t="s">
        <v>83</v>
      </c>
      <c r="AD29" s="5" t="s">
        <v>837</v>
      </c>
      <c r="AE29" s="76" t="s">
        <v>1318</v>
      </c>
      <c r="AF29" s="90" t="s">
        <v>1398</v>
      </c>
      <c r="AG29" s="79" t="s">
        <v>474</v>
      </c>
      <c r="AH29" s="94" t="s">
        <v>192</v>
      </c>
      <c r="AI29" s="85" t="s">
        <v>152</v>
      </c>
      <c r="AK29" s="4">
        <v>28</v>
      </c>
      <c r="AL29" s="4">
        <v>1</v>
      </c>
      <c r="AM29" s="4">
        <v>1</v>
      </c>
      <c r="AN29" s="4">
        <v>7</v>
      </c>
      <c r="AO29" s="197" t="s">
        <v>2130</v>
      </c>
      <c r="AP29" s="198">
        <v>200.6</v>
      </c>
      <c r="AQ29">
        <v>8</v>
      </c>
      <c r="AR29">
        <v>8</v>
      </c>
      <c r="AS29">
        <v>3</v>
      </c>
      <c r="AT29">
        <v>18</v>
      </c>
      <c r="AU29">
        <v>16.23</v>
      </c>
      <c r="AV29">
        <v>63</v>
      </c>
      <c r="AW29">
        <v>10.5</v>
      </c>
      <c r="AY29" s="38">
        <f t="shared" si="0"/>
        <v>28</v>
      </c>
      <c r="AZ29" s="25" t="b">
        <f t="shared" si="1"/>
        <v>0</v>
      </c>
      <c r="BA29" s="25" t="b">
        <f t="shared" si="2"/>
        <v>0</v>
      </c>
      <c r="BB29" s="25" t="b">
        <f t="shared" si="3"/>
        <v>0</v>
      </c>
      <c r="BC29" s="25" t="b">
        <f t="shared" si="4"/>
        <v>0</v>
      </c>
      <c r="BI29" s="25">
        <v>27</v>
      </c>
      <c r="BJ29" s="6">
        <v>360</v>
      </c>
      <c r="BK29" s="8">
        <v>1.2</v>
      </c>
      <c r="BM29" s="7" t="s">
        <v>781</v>
      </c>
      <c r="BN29" s="40">
        <f>IF(D26&gt;0,D26,C26)</f>
        <v>2</v>
      </c>
      <c r="BP29" s="14">
        <f t="shared" si="11"/>
        <v>29.888020366404756</v>
      </c>
      <c r="BQ29" s="11">
        <f t="shared" si="12"/>
        <v>0.11918176537727232</v>
      </c>
      <c r="BS29" s="7" t="s">
        <v>792</v>
      </c>
      <c r="BT29" s="18">
        <f ca="1">IF(BX42=2,BT28,BT23)</f>
        <v>42</v>
      </c>
      <c r="CA29" s="33">
        <v>1001032</v>
      </c>
      <c r="CB29" s="33">
        <f t="shared" ca="1" si="23"/>
        <v>0</v>
      </c>
      <c r="CD29" s="39"/>
      <c r="CR29" s="44"/>
      <c r="DQ29" s="49"/>
      <c r="DR29" s="18"/>
      <c r="DS29" s="18"/>
      <c r="DT29" s="18"/>
      <c r="DU29" s="18"/>
      <c r="DV29" s="18"/>
      <c r="DW29" s="18"/>
      <c r="DX29" s="18"/>
      <c r="DY29" s="18"/>
      <c r="DZ29" s="18"/>
      <c r="EA29" s="18"/>
      <c r="EB29" s="18"/>
      <c r="ED29" s="46"/>
      <c r="EE29" s="18"/>
      <c r="EF29" s="18"/>
      <c r="EG29" s="18"/>
      <c r="EH29" s="18"/>
      <c r="EI29" s="18"/>
      <c r="EJ29" s="18"/>
      <c r="EK29" s="18"/>
      <c r="EL29" s="18"/>
      <c r="EM29" s="18"/>
      <c r="EN29" s="18"/>
      <c r="EO29" s="18"/>
      <c r="EP29" s="18"/>
      <c r="EU29" s="25">
        <f>INT(EU28)</f>
        <v>2</v>
      </c>
      <c r="EW29" s="25">
        <f>INT(EW28)</f>
        <v>-3</v>
      </c>
      <c r="FC29" s="25"/>
    </row>
    <row r="30" spans="1:224" ht="19.95" customHeight="1">
      <c r="A30" s="144"/>
      <c r="B30" s="164" t="str">
        <f>M77</f>
        <v>Fd = előtolás a maró központjánál (mm/min)</v>
      </c>
      <c r="C30" s="180">
        <f ca="1">ROUND(C29*(C10-BM13)/C10,0)</f>
        <v>129</v>
      </c>
      <c r="D30" s="181"/>
      <c r="E30" s="161"/>
      <c r="F30" s="143"/>
      <c r="G30" s="182">
        <f>ROUND(G29*(C10-BM113)/C10,0)</f>
        <v>102</v>
      </c>
      <c r="H30" s="183"/>
      <c r="I30" s="152"/>
      <c r="J30" s="144"/>
      <c r="K30" s="144"/>
      <c r="L30" t="s">
        <v>588</v>
      </c>
      <c r="M30" s="5" t="str">
        <f t="shared" si="8"/>
        <v>Acél, gyengén ötvözött, &lt; 850 N/mm2</v>
      </c>
      <c r="N30" s="5" t="s">
        <v>1860</v>
      </c>
      <c r="O30" s="65" t="s">
        <v>1034</v>
      </c>
      <c r="P30" s="5" t="s">
        <v>898</v>
      </c>
      <c r="Q30" s="5" t="s">
        <v>1146</v>
      </c>
      <c r="R30" s="5" t="s">
        <v>911</v>
      </c>
      <c r="S30" s="5" t="s">
        <v>676</v>
      </c>
      <c r="T30" t="s">
        <v>1671</v>
      </c>
      <c r="U30" s="34" t="s">
        <v>328</v>
      </c>
      <c r="V30" s="5" t="s">
        <v>1237</v>
      </c>
      <c r="W30" s="5" t="s">
        <v>1733</v>
      </c>
      <c r="X30" s="5" t="s">
        <v>1227</v>
      </c>
      <c r="Y30" s="34" t="s">
        <v>1450</v>
      </c>
      <c r="Z30" s="5" t="s">
        <v>247</v>
      </c>
      <c r="AA30" s="5" t="s">
        <v>1350</v>
      </c>
      <c r="AB30" s="34" t="s">
        <v>571</v>
      </c>
      <c r="AC30" s="34" t="s">
        <v>84</v>
      </c>
      <c r="AD30" s="5" t="s">
        <v>772</v>
      </c>
      <c r="AE30" s="76" t="s">
        <v>1319</v>
      </c>
      <c r="AF30" s="90" t="s">
        <v>1399</v>
      </c>
      <c r="AG30" s="79" t="s">
        <v>475</v>
      </c>
      <c r="AH30" s="94" t="s">
        <v>107</v>
      </c>
      <c r="AI30" s="85" t="s">
        <v>153</v>
      </c>
      <c r="AK30" s="4">
        <v>29</v>
      </c>
      <c r="AL30" s="4">
        <v>1</v>
      </c>
      <c r="AM30" s="4">
        <v>1</v>
      </c>
      <c r="AN30" s="4">
        <v>3</v>
      </c>
      <c r="AO30" s="197" t="s">
        <v>2131</v>
      </c>
      <c r="AP30" s="198">
        <v>182.3</v>
      </c>
      <c r="AQ30">
        <v>8</v>
      </c>
      <c r="AR30">
        <v>8</v>
      </c>
      <c r="AS30">
        <v>3</v>
      </c>
      <c r="AT30">
        <v>19</v>
      </c>
      <c r="AU30">
        <v>15.37</v>
      </c>
      <c r="AV30">
        <v>63</v>
      </c>
      <c r="AW30">
        <v>10.6</v>
      </c>
      <c r="AY30" s="38">
        <f t="shared" si="0"/>
        <v>29</v>
      </c>
      <c r="AZ30" s="25" t="b">
        <f t="shared" si="1"/>
        <v>0</v>
      </c>
      <c r="BA30" s="25" t="b">
        <f t="shared" si="2"/>
        <v>0</v>
      </c>
      <c r="BB30" s="25" t="b">
        <f t="shared" si="3"/>
        <v>0</v>
      </c>
      <c r="BC30" s="25" t="b">
        <f t="shared" si="4"/>
        <v>0</v>
      </c>
      <c r="BI30" s="25">
        <v>28</v>
      </c>
      <c r="BJ30" s="6">
        <v>265</v>
      </c>
      <c r="BK30" s="8">
        <v>1.1000000000000001</v>
      </c>
      <c r="BP30" s="14">
        <f t="shared" si="11"/>
        <v>33.17570260670928</v>
      </c>
      <c r="BQ30" s="11">
        <f t="shared" si="12"/>
        <v>0.13109994191499957</v>
      </c>
      <c r="BW30" s="7" t="s">
        <v>631</v>
      </c>
      <c r="BX30" s="43">
        <f>LOOKUP(BX28,BX31:BX33,BW31:BW33)</f>
        <v>2</v>
      </c>
      <c r="CA30" s="33">
        <v>1010012</v>
      </c>
      <c r="CB30" s="33">
        <f t="shared" ca="1" si="23"/>
        <v>0</v>
      </c>
      <c r="CD30" s="39">
        <v>9</v>
      </c>
      <c r="CE30" s="45" t="str">
        <f ca="1">LOOKUP(CB$54,CF$5:DP$5,CF30:DP30)</f>
        <v>G01 G41 X2.5 Y-2.5 F129</v>
      </c>
      <c r="CF30" s="45"/>
      <c r="CH30" s="44" t="str">
        <f>CONCATENATE(CD30,DR97,DS97,DT97)</f>
        <v>9 CC IX-2.5 IY+0</v>
      </c>
      <c r="CI30" s="44" t="str">
        <f ca="1">CG12</f>
        <v>G01 G41 X2.5 Y-2.5 F129</v>
      </c>
      <c r="CJ30" s="44" t="str">
        <f>CONCATENATE(CD30,EE97,EF97,EG97)</f>
        <v>9 CC IX-2.323 IY+0</v>
      </c>
      <c r="CK30" s="44" t="str">
        <f ca="1">CONCATENATE(ER30,ES30,ET30,EU30,EV30,EW30,EX30,EY30)</f>
        <v>G01 G41 X2.393 Y-2.393 F126</v>
      </c>
      <c r="CL30" s="44" t="str">
        <f>CONCATENATE(CD30,ER97,ES97,ET97)</f>
        <v>9 CC IX-2.23 IY+0</v>
      </c>
      <c r="CM30" s="44" t="str">
        <f>CG21</f>
        <v>G03 X-2.5 Y2.5 Z0.25 I-2.5 J0.</v>
      </c>
      <c r="CN30" s="44" t="str">
        <f>CONCATENATE(CD30,DR88,DS88,DT88)</f>
        <v>9 CP IPA+90 IZ+0.25 DR+</v>
      </c>
      <c r="CO30" s="44" t="str">
        <f>CI21</f>
        <v>G03 X-2.323 Y2.323 Z0.25 I-2.323 J0.</v>
      </c>
      <c r="CP30" s="44" t="str">
        <f>CONCATENATE(CD30,DR88,DS88,DT88)</f>
        <v>9 CP IPA+90 IZ+0.25 DR+</v>
      </c>
      <c r="CQ30" s="4" t="str">
        <f>CK21</f>
        <v>G03 X-2.23 Y2.23 Z0.25 I-2.23 J0.</v>
      </c>
      <c r="CR30" s="44" t="str">
        <f>CONCATENATE(CD30,DR88,DS88,DT88)</f>
        <v>9 CP IPA+90 IZ+0.25 DR+</v>
      </c>
      <c r="CS30" s="4" t="str">
        <f>CM39</f>
        <v>#2=#2+1</v>
      </c>
      <c r="CT30" s="44" t="str">
        <f>CONCATENATE(CD30,FE88)</f>
        <v>9 LBL 101</v>
      </c>
      <c r="CU30" s="44" t="str">
        <f>CS30</f>
        <v>#2=#2+1</v>
      </c>
      <c r="CV30" s="44" t="str">
        <f>CT30</f>
        <v>9 LBL 101</v>
      </c>
      <c r="CW30" s="44" t="str">
        <f>CU30</f>
        <v>#2=#2+1</v>
      </c>
      <c r="CX30" s="127" t="str">
        <f>CT30</f>
        <v>9 LBL 101</v>
      </c>
      <c r="CY30" s="44" t="str">
        <f>CG21</f>
        <v>G03 X-2.5 Y2.5 Z0.25 I-2.5 J0.</v>
      </c>
      <c r="CZ30" s="127" t="str">
        <f>CONCATENATE(CD30,DR91,GB21,DT82,GD21)</f>
        <v>9 CC IX-0.016 IY-5.016</v>
      </c>
      <c r="DA30" s="44" t="str">
        <f>CI21</f>
        <v>G03 X-2.323 Y2.323 Z0.25 I-2.323 J0.</v>
      </c>
      <c r="DB30" s="127" t="str">
        <f>CONCATENATE(CD30,DR91,GO21,DT82,GQ21)</f>
        <v>9 CC IX-0.016 IY-4.662</v>
      </c>
      <c r="DC30" s="44" t="str">
        <f>CK21</f>
        <v>G03 X-2.23 Y2.23 Z0.25 I-2.23 J0.</v>
      </c>
      <c r="DD30" s="127" t="str">
        <f>CONCATENATE(CD30,DR91,HB21,DT82,HD21)</f>
        <v>9 CC IX-0.016 IY-4.476</v>
      </c>
      <c r="DE30" s="44" t="s">
        <v>668</v>
      </c>
      <c r="DF30" s="44" t="str">
        <f>CI27</f>
        <v>G00 Z-2.5</v>
      </c>
      <c r="DG30" s="44" t="str">
        <f>CI27</f>
        <v>G00 Z-2.5</v>
      </c>
      <c r="DH30" s="44" t="str">
        <f>DE21</f>
        <v>G03 X0. C0. Z2. I-5. J0.</v>
      </c>
      <c r="DI30" s="44" t="str">
        <f>DF21</f>
        <v>G03 X0. C0. Z2. I-4.646 J0.</v>
      </c>
      <c r="DJ30" s="44" t="str">
        <f>DG21</f>
        <v>G03 X0. C0. Z2. I-4.46 J0.</v>
      </c>
      <c r="DK30" s="44" t="str">
        <f>DE21</f>
        <v>G03 X0. C0. Z2. I-5. J0.</v>
      </c>
      <c r="DL30" s="44" t="str">
        <f>DF21</f>
        <v>G03 X0. C0. Z2. I-4.646 J0.</v>
      </c>
      <c r="DM30" s="44" t="str">
        <f>DG21</f>
        <v>G03 X0. C0. Z2. I-4.46 J0.</v>
      </c>
      <c r="DN30" s="44" t="str">
        <f>CONCATENATE(FT27,FU27,FV27,HM30,FX27,FY27,FZ27,GA27,GB27,GC27,GD27,GE27)</f>
        <v>G03 X5.064 C5.048 Z0.5 I0.016 J5.048</v>
      </c>
      <c r="DO30" s="44" t="str">
        <f>CONCATENATE(GG27,GH27,GI27,HO30,GK27,GL27,GM27,GN27,GO27,GP27,GQ27,GR27)</f>
        <v>G03 X4.71 C4.694 Z0.5 I0.016 J4.694</v>
      </c>
      <c r="DP30" s="44" t="str">
        <f>CONCATENATE(GT27,GU27,GV27,HQ30,GX27,GY27,GZ27,HA27,HB27,HC27,HD27,HE27)</f>
        <v>G03 X4.5244.508 Z0.5 I0.016 J4.508</v>
      </c>
      <c r="DQ30" s="49"/>
      <c r="DR30" s="18"/>
      <c r="DS30" s="18"/>
      <c r="DT30" s="18"/>
      <c r="DU30" s="18"/>
      <c r="DV30" s="18"/>
      <c r="DW30" s="18"/>
      <c r="DX30" s="18"/>
      <c r="DY30" s="18"/>
      <c r="DZ30" s="18"/>
      <c r="EA30" s="18"/>
      <c r="EB30" s="18"/>
      <c r="ED30" s="46"/>
      <c r="EE30" s="18"/>
      <c r="EF30" s="18"/>
      <c r="EG30" s="18"/>
      <c r="EH30" s="18"/>
      <c r="EI30" s="18"/>
      <c r="EJ30" s="18"/>
      <c r="EK30" s="18"/>
      <c r="EL30" s="18"/>
      <c r="EM30" s="18"/>
      <c r="EN30" s="18"/>
      <c r="EO30" s="18"/>
      <c r="EP30" s="18"/>
      <c r="EQ30" s="49">
        <v>9</v>
      </c>
      <c r="ER30" s="18" t="s">
        <v>543</v>
      </c>
      <c r="ES30" s="18" t="s">
        <v>544</v>
      </c>
      <c r="ET30" s="18" t="s">
        <v>545</v>
      </c>
      <c r="EU30" s="18" t="str">
        <f>SUBSTITUTE(EU28,",",".")</f>
        <v>2.393</v>
      </c>
      <c r="EV30" s="18" t="str">
        <f>IF(EU28=EU29,". Y"," Y")</f>
        <v xml:space="preserve"> Y</v>
      </c>
      <c r="EW30" s="18" t="str">
        <f>SUBSTITUTE(EW28,",",".")</f>
        <v>-2.393</v>
      </c>
      <c r="EX30" s="18" t="str">
        <f>IF(EW28=EW29,". F"," F")</f>
        <v xml:space="preserve"> F</v>
      </c>
      <c r="EY30" s="6">
        <f ca="1">BZ69</f>
        <v>126</v>
      </c>
      <c r="EZ30" s="18"/>
      <c r="FA30" s="18"/>
      <c r="FB30" s="18"/>
      <c r="FC30" s="25"/>
      <c r="FS30" s="49"/>
      <c r="GF30" s="49"/>
      <c r="GS30" s="49"/>
      <c r="HL30" s="49">
        <v>9</v>
      </c>
      <c r="HM30" s="33" t="str">
        <f>IF(FV25=FV26,". C"," C")</f>
        <v xml:space="preserve"> C</v>
      </c>
      <c r="HN30" s="49">
        <v>9</v>
      </c>
      <c r="HO30" s="33" t="str">
        <f>IF(GI25=GI26,". C"," C")</f>
        <v xml:space="preserve"> C</v>
      </c>
      <c r="HP30" s="49">
        <v>9</v>
      </c>
    </row>
    <row r="31" spans="1:224" ht="19.95" customHeight="1">
      <c r="A31" s="144"/>
      <c r="B31" s="164" t="str">
        <f t="shared" si="25"/>
        <v>T = a menetmarás ideje (sec)</v>
      </c>
      <c r="C31" s="180">
        <f ca="1">BT29</f>
        <v>42</v>
      </c>
      <c r="D31" s="186">
        <f ca="1">(C31/G31)-1</f>
        <v>2.8181818181818183</v>
      </c>
      <c r="E31" s="161"/>
      <c r="F31" s="143"/>
      <c r="G31" s="182">
        <f>BT129</f>
        <v>11</v>
      </c>
      <c r="H31" s="187">
        <f ca="1">(G31/C31)-1</f>
        <v>-0.73809523809523814</v>
      </c>
      <c r="I31" s="153"/>
      <c r="J31" s="144"/>
      <c r="K31" s="144"/>
      <c r="L31" t="s">
        <v>643</v>
      </c>
      <c r="M31" s="5" t="str">
        <f t="shared" si="8"/>
        <v>Acél, erősen ötvözött, &lt; 1200 N/mm2</v>
      </c>
      <c r="N31" s="5" t="s">
        <v>1861</v>
      </c>
      <c r="O31" s="65" t="s">
        <v>1035</v>
      </c>
      <c r="P31" s="5" t="s">
        <v>895</v>
      </c>
      <c r="Q31" s="5" t="s">
        <v>1086</v>
      </c>
      <c r="R31" s="5" t="s">
        <v>927</v>
      </c>
      <c r="S31" s="5" t="s">
        <v>982</v>
      </c>
      <c r="T31" t="s">
        <v>1672</v>
      </c>
      <c r="U31" s="34" t="s">
        <v>329</v>
      </c>
      <c r="V31" s="5" t="s">
        <v>1238</v>
      </c>
      <c r="W31" s="5" t="s">
        <v>1734</v>
      </c>
      <c r="X31" s="5" t="s">
        <v>1228</v>
      </c>
      <c r="Y31" s="34" t="s">
        <v>1351</v>
      </c>
      <c r="Z31" s="34" t="s">
        <v>248</v>
      </c>
      <c r="AA31" s="5" t="s">
        <v>1354</v>
      </c>
      <c r="AB31" s="34" t="s">
        <v>572</v>
      </c>
      <c r="AC31" s="34" t="s">
        <v>85</v>
      </c>
      <c r="AD31" s="5" t="s">
        <v>868</v>
      </c>
      <c r="AE31" s="76" t="s">
        <v>1320</v>
      </c>
      <c r="AF31" s="90" t="s">
        <v>1411</v>
      </c>
      <c r="AG31" s="79" t="s">
        <v>476</v>
      </c>
      <c r="AH31" s="94" t="s">
        <v>108</v>
      </c>
      <c r="AI31" s="85" t="s">
        <v>154</v>
      </c>
      <c r="AK31" s="4">
        <v>30</v>
      </c>
      <c r="AL31" s="4">
        <v>2</v>
      </c>
      <c r="AM31" s="4">
        <v>4</v>
      </c>
      <c r="AN31" s="4">
        <v>4</v>
      </c>
      <c r="AO31" s="197" t="s">
        <v>2132</v>
      </c>
      <c r="AP31" s="198">
        <v>200.6</v>
      </c>
      <c r="AQ31">
        <v>8</v>
      </c>
      <c r="AR31">
        <v>8</v>
      </c>
      <c r="AS31">
        <v>3</v>
      </c>
      <c r="AT31">
        <v>19</v>
      </c>
      <c r="AU31">
        <v>15.37</v>
      </c>
      <c r="AV31">
        <v>63</v>
      </c>
      <c r="AW31">
        <v>10.6</v>
      </c>
      <c r="AY31" s="38">
        <f t="shared" si="0"/>
        <v>30</v>
      </c>
      <c r="AZ31" s="25" t="b">
        <f t="shared" si="1"/>
        <v>0</v>
      </c>
      <c r="BA31" s="25" t="b">
        <f t="shared" si="2"/>
        <v>0</v>
      </c>
      <c r="BB31" s="25" t="b">
        <f t="shared" si="3"/>
        <v>0</v>
      </c>
      <c r="BC31" s="25" t="b">
        <f t="shared" si="4"/>
        <v>0</v>
      </c>
      <c r="BI31" s="25">
        <v>29</v>
      </c>
      <c r="BJ31" s="6">
        <v>55</v>
      </c>
      <c r="BK31" s="8">
        <v>0.6</v>
      </c>
      <c r="BM31" s="7" t="s">
        <v>635</v>
      </c>
      <c r="BN31" s="12">
        <f ca="1">IF(D25&gt;0,D25,C25)</f>
        <v>3.2534964000000006E-2</v>
      </c>
      <c r="BP31" s="14">
        <f t="shared" si="11"/>
        <v>36.825029893447301</v>
      </c>
      <c r="BQ31" s="11">
        <f t="shared" si="12"/>
        <v>0.14420993610649954</v>
      </c>
      <c r="BW31" s="25">
        <v>3</v>
      </c>
      <c r="BX31" s="28">
        <v>0</v>
      </c>
      <c r="CA31" s="33">
        <v>1010022</v>
      </c>
      <c r="CB31" s="33">
        <f t="shared" ca="1" si="23"/>
        <v>0</v>
      </c>
      <c r="CD31" s="39"/>
      <c r="CR31" s="44"/>
      <c r="ED31" s="46"/>
      <c r="EE31" s="18"/>
      <c r="EF31" s="18"/>
      <c r="EG31" s="18"/>
      <c r="EH31" s="18"/>
      <c r="EI31" s="18"/>
      <c r="EJ31" s="18"/>
      <c r="EK31" s="18"/>
      <c r="EL31" s="18"/>
      <c r="EM31" s="18"/>
      <c r="EN31" s="18"/>
      <c r="EO31" s="18"/>
      <c r="EP31" s="18"/>
      <c r="EQ31" s="49"/>
      <c r="ER31" s="18"/>
      <c r="ES31" s="18"/>
      <c r="ET31" s="18">
        <f>BY69</f>
        <v>2.3929999999999998</v>
      </c>
      <c r="EU31" s="18"/>
      <c r="EV31" s="18">
        <f>BY69</f>
        <v>2.3929999999999998</v>
      </c>
      <c r="EW31" s="18"/>
      <c r="EX31" s="18">
        <f>ROUND(BT6/8,3)</f>
        <v>0.25</v>
      </c>
      <c r="EY31" s="18"/>
      <c r="EZ31" s="18"/>
      <c r="FA31" s="18"/>
      <c r="FB31" s="18">
        <f>BY69</f>
        <v>2.3929999999999998</v>
      </c>
      <c r="FC31" s="25"/>
      <c r="FW31" s="33">
        <f>-(BX57+(4*GD16))</f>
        <v>-2.5640000000000001</v>
      </c>
      <c r="FY31" s="33">
        <f>-BX57</f>
        <v>-2.5</v>
      </c>
      <c r="GJ31" s="33">
        <f>-(BY62+(4*GQ16))</f>
        <v>-2.387</v>
      </c>
      <c r="GL31" s="33">
        <f>-BY62</f>
        <v>-2.323</v>
      </c>
      <c r="GW31" s="33">
        <f>-(BY68+(4*HD16))</f>
        <v>-2.294</v>
      </c>
      <c r="GY31" s="33">
        <f>-BY68</f>
        <v>-2.23</v>
      </c>
    </row>
    <row r="32" spans="1:224" ht="19.95" customHeight="1">
      <c r="A32" s="144"/>
      <c r="B32" s="164" t="str">
        <f t="shared" si="25"/>
        <v>Egy menet szerszámköltsége (€)</v>
      </c>
      <c r="C32" s="188">
        <f ca="1">(BO3/(BO5*60/C31))</f>
        <v>1.4875</v>
      </c>
      <c r="D32" s="186">
        <f ca="1">(C32/G32)-1</f>
        <v>0.88360681686276576</v>
      </c>
      <c r="E32" s="161"/>
      <c r="F32" s="143"/>
      <c r="G32" s="189">
        <f>(BO103/(BO105*60/G31))</f>
        <v>0.78970833333333335</v>
      </c>
      <c r="H32" s="187">
        <f ca="1">(G32/C32)-1</f>
        <v>-0.46910364145658268</v>
      </c>
      <c r="I32" s="153"/>
      <c r="J32" s="144"/>
      <c r="K32" s="144"/>
      <c r="L32" t="s">
        <v>589</v>
      </c>
      <c r="M32" s="5" t="str">
        <f t="shared" si="8"/>
        <v>Acél, edzett, &lt; 45 HRC</v>
      </c>
      <c r="N32" s="5" t="s">
        <v>1862</v>
      </c>
      <c r="O32" s="65" t="s">
        <v>1036</v>
      </c>
      <c r="P32" s="5" t="s">
        <v>896</v>
      </c>
      <c r="Q32" s="5" t="s">
        <v>1087</v>
      </c>
      <c r="R32" s="5" t="s">
        <v>915</v>
      </c>
      <c r="S32" s="5" t="s">
        <v>983</v>
      </c>
      <c r="T32" t="s">
        <v>1673</v>
      </c>
      <c r="U32" s="34" t="s">
        <v>330</v>
      </c>
      <c r="V32" s="5" t="s">
        <v>1239</v>
      </c>
      <c r="W32" s="5" t="s">
        <v>1735</v>
      </c>
      <c r="X32" s="5" t="s">
        <v>1149</v>
      </c>
      <c r="Y32" s="34" t="s">
        <v>1352</v>
      </c>
      <c r="Z32" s="5" t="s">
        <v>249</v>
      </c>
      <c r="AA32" s="5" t="s">
        <v>1357</v>
      </c>
      <c r="AB32" s="34" t="s">
        <v>573</v>
      </c>
      <c r="AC32" s="34" t="s">
        <v>4</v>
      </c>
      <c r="AD32" s="5" t="s">
        <v>773</v>
      </c>
      <c r="AE32" s="76" t="s">
        <v>1321</v>
      </c>
      <c r="AF32" s="90" t="s">
        <v>1412</v>
      </c>
      <c r="AG32" s="79" t="s">
        <v>477</v>
      </c>
      <c r="AH32" s="94" t="s">
        <v>109</v>
      </c>
      <c r="AI32" s="85" t="s">
        <v>166</v>
      </c>
      <c r="AK32" s="4">
        <v>31</v>
      </c>
      <c r="AL32" s="4">
        <v>1</v>
      </c>
      <c r="AM32" s="4">
        <v>1</v>
      </c>
      <c r="AN32" s="4">
        <v>7</v>
      </c>
      <c r="AO32" s="197" t="s">
        <v>2133</v>
      </c>
      <c r="AP32" s="198">
        <v>158.5</v>
      </c>
      <c r="AQ32">
        <v>6</v>
      </c>
      <c r="AR32">
        <v>6</v>
      </c>
      <c r="AS32">
        <v>3</v>
      </c>
      <c r="AT32">
        <v>27</v>
      </c>
      <c r="AU32">
        <v>12.7</v>
      </c>
      <c r="AV32">
        <v>63</v>
      </c>
      <c r="AW32">
        <v>7</v>
      </c>
      <c r="AY32" s="38">
        <f t="shared" si="0"/>
        <v>31</v>
      </c>
      <c r="AZ32" s="25" t="b">
        <f t="shared" si="1"/>
        <v>0</v>
      </c>
      <c r="BA32" s="25" t="b">
        <f t="shared" si="2"/>
        <v>0</v>
      </c>
      <c r="BB32" s="25" t="b">
        <f t="shared" si="3"/>
        <v>0</v>
      </c>
      <c r="BC32" s="25" t="b">
        <f t="shared" si="4"/>
        <v>0</v>
      </c>
      <c r="BF32" s="129" t="s">
        <v>1653</v>
      </c>
      <c r="BG32" s="128"/>
      <c r="BI32" s="25">
        <v>30</v>
      </c>
      <c r="BJ32" s="6">
        <v>360</v>
      </c>
      <c r="BK32" s="8">
        <v>1</v>
      </c>
      <c r="BP32" s="14">
        <f t="shared" si="11"/>
        <v>40.875783181726504</v>
      </c>
      <c r="BQ32" s="11">
        <f t="shared" si="12"/>
        <v>0.15863092971714951</v>
      </c>
      <c r="BW32" s="25">
        <v>2</v>
      </c>
      <c r="BX32" s="28">
        <v>0.35</v>
      </c>
      <c r="CA32" s="33">
        <v>1010032</v>
      </c>
      <c r="CB32" s="33">
        <f t="shared" ref="CB32:CB38" ca="1" si="26">(IF(CB$13=CA32,CB$13,0))</f>
        <v>0</v>
      </c>
      <c r="CD32" s="39"/>
      <c r="CR32" s="44"/>
      <c r="ED32" s="46"/>
      <c r="EE32" s="18"/>
      <c r="EF32" s="18"/>
      <c r="EG32" s="18"/>
      <c r="EH32" s="18"/>
      <c r="EI32" s="18"/>
      <c r="EJ32" s="18"/>
      <c r="EK32" s="18"/>
      <c r="EL32" s="18"/>
      <c r="EM32" s="18"/>
      <c r="EN32" s="18"/>
      <c r="EO32" s="18"/>
      <c r="EP32" s="18"/>
      <c r="EQ32" s="48"/>
      <c r="ER32" s="25"/>
      <c r="ES32" s="25"/>
      <c r="ET32" s="25">
        <f>INT(ET31)</f>
        <v>2</v>
      </c>
      <c r="EU32" s="25"/>
      <c r="EV32" s="25">
        <f>INT(EV31)</f>
        <v>2</v>
      </c>
      <c r="EW32" s="25"/>
      <c r="EX32" s="25">
        <f>INT(EX31)</f>
        <v>0</v>
      </c>
      <c r="EY32" s="25"/>
      <c r="EZ32" s="25"/>
      <c r="FA32" s="25"/>
      <c r="FB32" s="25">
        <f>INT(FB31)</f>
        <v>2</v>
      </c>
      <c r="FC32" s="25"/>
      <c r="FW32" s="25">
        <f>INT(FW31)</f>
        <v>-3</v>
      </c>
      <c r="FY32" s="25">
        <f>INT(FY31)</f>
        <v>-3</v>
      </c>
      <c r="GJ32" s="25">
        <f>INT(GJ31)</f>
        <v>-3</v>
      </c>
      <c r="GL32" s="25">
        <f>INT(GL31)</f>
        <v>-3</v>
      </c>
      <c r="GW32" s="25">
        <f>INT(GW31)</f>
        <v>-3</v>
      </c>
      <c r="GY32" s="25">
        <f>INT(GY31)</f>
        <v>-3</v>
      </c>
    </row>
    <row r="33" spans="1:224" ht="19.95" customHeight="1">
      <c r="A33" s="144"/>
      <c r="B33" s="164" t="str">
        <f t="shared" si="25"/>
        <v>Egy menet teljes költsége (€)</v>
      </c>
      <c r="C33" s="188">
        <f ca="1">(BO3/(BO5*60/C31))+(C31/3600*C13)</f>
        <v>2.4208333333333334</v>
      </c>
      <c r="D33" s="186">
        <f ca="1">(C33/G33)-1</f>
        <v>1.3408855880417407</v>
      </c>
      <c r="E33" s="161"/>
      <c r="F33" s="143"/>
      <c r="G33" s="189">
        <f>(BO103/(BO105*60/G31))+(G31/3600*C13)</f>
        <v>1.0341527777777779</v>
      </c>
      <c r="H33" s="187">
        <f ca="1">(G33/C33)-1</f>
        <v>-0.57281124497991964</v>
      </c>
      <c r="I33" s="153"/>
      <c r="J33" s="144"/>
      <c r="K33" s="144"/>
      <c r="L33" t="s">
        <v>902</v>
      </c>
      <c r="M33" s="5" t="str">
        <f t="shared" si="8"/>
        <v>Acél, edzett, &lt; 55 HRC</v>
      </c>
      <c r="N33" s="5" t="s">
        <v>1863</v>
      </c>
      <c r="O33" s="65" t="s">
        <v>1037</v>
      </c>
      <c r="P33" s="5" t="s">
        <v>897</v>
      </c>
      <c r="Q33" s="5" t="s">
        <v>1078</v>
      </c>
      <c r="R33" s="5" t="s">
        <v>916</v>
      </c>
      <c r="S33" s="5" t="s">
        <v>625</v>
      </c>
      <c r="T33" t="s">
        <v>1674</v>
      </c>
      <c r="U33" s="34" t="s">
        <v>331</v>
      </c>
      <c r="V33" s="5" t="s">
        <v>1240</v>
      </c>
      <c r="W33" s="5" t="s">
        <v>1736</v>
      </c>
      <c r="X33" s="5" t="s">
        <v>1150</v>
      </c>
      <c r="Y33" s="34" t="s">
        <v>1353</v>
      </c>
      <c r="Z33" s="34" t="s">
        <v>250</v>
      </c>
      <c r="AA33" s="5" t="s">
        <v>1358</v>
      </c>
      <c r="AB33" s="34" t="s">
        <v>574</v>
      </c>
      <c r="AC33" s="34" t="s">
        <v>5</v>
      </c>
      <c r="AD33" s="5" t="s">
        <v>774</v>
      </c>
      <c r="AE33" s="76" t="s">
        <v>1322</v>
      </c>
      <c r="AF33" s="90" t="s">
        <v>1493</v>
      </c>
      <c r="AG33" s="79" t="s">
        <v>395</v>
      </c>
      <c r="AH33" s="94" t="s">
        <v>110</v>
      </c>
      <c r="AI33" s="85" t="s">
        <v>167</v>
      </c>
      <c r="AK33" s="4">
        <v>32</v>
      </c>
      <c r="AL33" s="4">
        <v>1</v>
      </c>
      <c r="AM33" s="4">
        <v>1</v>
      </c>
      <c r="AN33" s="4">
        <v>3</v>
      </c>
      <c r="AO33" s="197" t="s">
        <v>2134</v>
      </c>
      <c r="AP33" s="198">
        <v>144.1</v>
      </c>
      <c r="AQ33">
        <v>6</v>
      </c>
      <c r="AR33">
        <v>6</v>
      </c>
      <c r="AS33">
        <v>3</v>
      </c>
      <c r="AT33">
        <v>28</v>
      </c>
      <c r="AU33">
        <v>10.43</v>
      </c>
      <c r="AV33">
        <v>63</v>
      </c>
      <c r="AW33">
        <v>7.8</v>
      </c>
      <c r="AY33" s="38">
        <f t="shared" si="0"/>
        <v>32</v>
      </c>
      <c r="AZ33" s="25" t="b">
        <f t="shared" si="1"/>
        <v>0</v>
      </c>
      <c r="BA33" s="25" t="b">
        <f t="shared" si="2"/>
        <v>0</v>
      </c>
      <c r="BB33" s="25" t="b">
        <f t="shared" si="3"/>
        <v>0</v>
      </c>
      <c r="BC33" s="25" t="b">
        <f t="shared" si="4"/>
        <v>0</v>
      </c>
      <c r="BF33" s="128" t="s">
        <v>1652</v>
      </c>
      <c r="BG33" s="128"/>
      <c r="BW33" s="25">
        <v>1</v>
      </c>
      <c r="BX33" s="28">
        <v>0.55000000000000004</v>
      </c>
      <c r="CA33" s="33">
        <v>1010111</v>
      </c>
      <c r="CB33" s="33">
        <f t="shared" ca="1" si="26"/>
        <v>0</v>
      </c>
      <c r="CD33" s="39">
        <v>10</v>
      </c>
      <c r="CE33" s="45" t="str">
        <f ca="1">LOOKUP(CB$54,CF$5:DP$5,CF33:DP33)</f>
        <v>G03 X2.5 Y2.5 Z0.25 I0. J2.5</v>
      </c>
      <c r="CF33" s="45"/>
      <c r="CH33" s="44" t="str">
        <f>CONCATENATE(CD33,DR100,DS100,DT100)</f>
        <v>10 CP IPA+90 IZ+0.25 DR+</v>
      </c>
      <c r="CI33" s="44" t="str">
        <f>CG15</f>
        <v>G03 X2.5 Y2.5 Z0.25 I0. J2.5</v>
      </c>
      <c r="CJ33" s="44" t="str">
        <f>CH33</f>
        <v>10 CP IPA+90 IZ+0.25 DR+</v>
      </c>
      <c r="CK33" s="44" t="str">
        <f>CONCATENATE(ER33,ES33,ET33,EU33,EV33,EW33,EX33,EY33,EZ33,FA33,FB33,FC33)</f>
        <v>G03 X2.393 Y2.393 Z0.25 I0. J2.393</v>
      </c>
      <c r="CL33" s="44" t="str">
        <f>CJ33</f>
        <v>10 CP IPA+90 IZ+0.25 DR+</v>
      </c>
      <c r="CM33" s="44" t="str">
        <f>CG24</f>
        <v>G01 G40 X-2.5 Y-2.5</v>
      </c>
      <c r="CN33" s="44" t="str">
        <f>CONCATENATE(CD33,DR91,DS91,DT91)</f>
        <v>10 CC IX-5 IY+0</v>
      </c>
      <c r="CO33" s="44" t="str">
        <f>CI24</f>
        <v>G01 G40 X-2.323 Y-2.323</v>
      </c>
      <c r="CP33" s="44" t="str">
        <f>CONCATENATE(CD33,EE91,EF91,EG91)</f>
        <v>10 CC IX-4.646 IY+0</v>
      </c>
      <c r="CQ33" s="4" t="str">
        <f>CK24</f>
        <v>G01 G40 X-2.23 Y-2.23</v>
      </c>
      <c r="CR33" s="44" t="str">
        <f>CONCATENATE(CD33,ER91,ES91,ET91)</f>
        <v>10 CC IX-4.46 IY+0</v>
      </c>
      <c r="CS33" s="4" t="str">
        <f>CM42</f>
        <v>END1</v>
      </c>
      <c r="CT33" s="44" t="str">
        <f>CN33</f>
        <v>10 CC IX-5 IY+0</v>
      </c>
      <c r="CU33" s="44" t="str">
        <f>CS33</f>
        <v>END1</v>
      </c>
      <c r="CV33" s="44" t="str">
        <f>CONCATENATE(CD33,EE91,EF91,EG91)</f>
        <v>10 CC IX-4.646 IY+0</v>
      </c>
      <c r="CW33" s="44" t="str">
        <f>CU33</f>
        <v>END1</v>
      </c>
      <c r="CX33" s="127" t="str">
        <f>CR33</f>
        <v>10 CC IX-4.46 IY+0</v>
      </c>
      <c r="CY33" s="44" t="str">
        <f>CONCATENATE(FT33,FU33,FV33,FW33,FX33,FY33,FZ33)</f>
        <v>G01 G40 X-2.564 Y-2.5</v>
      </c>
      <c r="CZ33" s="127" t="str">
        <f>CONCATENATE(CD33,DR88,FZ21,DT88)</f>
        <v>10 CP IPA+90 IZ+0.5 DR+</v>
      </c>
      <c r="DA33" s="44" t="str">
        <f>CONCATENATE(GG33,GH33,GI33,GJ33,GK33,GL33,GM33)</f>
        <v>G01 G40 X-2.387 Y-2.323</v>
      </c>
      <c r="DB33" s="127" t="str">
        <f>CZ33</f>
        <v>10 CP IPA+90 IZ+0.5 DR+</v>
      </c>
      <c r="DC33" s="44" t="str">
        <f>CONCATENATE(GT33,GU33,GV33,GW33,GX33,GY33,GZ33)</f>
        <v>G01 G40 X-2.294 Y-2.23</v>
      </c>
      <c r="DD33" s="127" t="str">
        <f>DB33</f>
        <v>10 CP IPA+90 IZ+0.5 DR+</v>
      </c>
      <c r="DE33" s="44" t="str">
        <f>CG27</f>
        <v>G00 Z102.5</v>
      </c>
      <c r="DF33" s="44" t="str">
        <f ca="1">DE15</f>
        <v>G01 G41 X2.5 C-2.5 F129</v>
      </c>
      <c r="DG33" s="44" t="str">
        <f ca="1">CONCATENATE(ER30,ES30,ET30,EU30,HK33,EW30,EX30,EY30)</f>
        <v>G01 G41 X2.393 C-2.393 F126</v>
      </c>
      <c r="DH33" s="44" t="str">
        <f>DE24</f>
        <v>G03 X-2.5 C2.5 Z0.25 I-2.5 J0.</v>
      </c>
      <c r="DI33" s="44" t="str">
        <f>DF24</f>
        <v>G03 X-2.323 C2.323 Z0.25 I-2.323 J0.</v>
      </c>
      <c r="DJ33" s="44" t="str">
        <f>DG24</f>
        <v>G03 X-2.23 C2.23 Z0.25 I-2.23 J0.</v>
      </c>
      <c r="DK33" s="44" t="str">
        <f>CS30</f>
        <v>#2=#2+1</v>
      </c>
      <c r="DL33" s="44" t="str">
        <f>DK33</f>
        <v>#2=#2+1</v>
      </c>
      <c r="DM33" s="44" t="str">
        <f>DL33</f>
        <v>#2=#2+1</v>
      </c>
      <c r="DN33" s="44" t="str">
        <f>DE24</f>
        <v>G03 X-2.5 C2.5 Z0.25 I-2.5 J0.</v>
      </c>
      <c r="DO33" s="44" t="str">
        <f>DF24</f>
        <v>G03 X-2.323 C2.323 Z0.25 I-2.323 J0.</v>
      </c>
      <c r="DP33" s="44" t="str">
        <f>DG24</f>
        <v>G03 X-2.23 C2.23 Z0.25 I-2.23 J0.</v>
      </c>
      <c r="ED33" s="46"/>
      <c r="EE33" s="18"/>
      <c r="EF33" s="18"/>
      <c r="EG33" s="18"/>
      <c r="EH33" s="18"/>
      <c r="EI33" s="18"/>
      <c r="EJ33" s="18"/>
      <c r="EK33" s="18"/>
      <c r="EL33" s="18"/>
      <c r="EM33" s="18"/>
      <c r="EN33" s="18"/>
      <c r="EO33" s="18"/>
      <c r="EP33" s="18"/>
      <c r="EQ33" s="49">
        <v>10</v>
      </c>
      <c r="ER33" s="18" t="s">
        <v>546</v>
      </c>
      <c r="ES33" s="18" t="s">
        <v>545</v>
      </c>
      <c r="ET33" s="18" t="str">
        <f>SUBSTITUTE(ET31,",",".")</f>
        <v>2.393</v>
      </c>
      <c r="EU33" s="18" t="str">
        <f>IF(ET31=ET32,". Y"," Y")</f>
        <v xml:space="preserve"> Y</v>
      </c>
      <c r="EV33" s="18" t="str">
        <f>SUBSTITUTE(EV31,",",".")</f>
        <v>2.393</v>
      </c>
      <c r="EW33" s="18" t="str">
        <f>IF(EV31=EV32,". Z"," Z")</f>
        <v xml:space="preserve"> Z</v>
      </c>
      <c r="EX33" s="18" t="str">
        <f>SUBSTITUTE(EX31,",",".")</f>
        <v>0.25</v>
      </c>
      <c r="EY33" s="18" t="str">
        <f>IF(EX31=EX32,". I"," I")</f>
        <v xml:space="preserve"> I</v>
      </c>
      <c r="EZ33" s="18">
        <v>0</v>
      </c>
      <c r="FA33" s="18" t="s">
        <v>550</v>
      </c>
      <c r="FB33" s="18" t="str">
        <f>SUBSTITUTE(FB31,",",".")</f>
        <v>2.393</v>
      </c>
      <c r="FC33" s="18" t="str">
        <f>IF(FB31=FB32,".","")</f>
        <v/>
      </c>
      <c r="FS33" s="49">
        <v>10</v>
      </c>
      <c r="FT33" s="33" t="s">
        <v>543</v>
      </c>
      <c r="FU33" s="33" t="s">
        <v>537</v>
      </c>
      <c r="FV33" s="33" t="s">
        <v>545</v>
      </c>
      <c r="FW33" s="18" t="str">
        <f>SUBSTITUTE(FW31,",",".")</f>
        <v>-2.564</v>
      </c>
      <c r="FX33" s="18" t="str">
        <f>IF(FW31=FW32,". Y"," Y")</f>
        <v xml:space="preserve"> Y</v>
      </c>
      <c r="FY33" s="18" t="str">
        <f>SUBSTITUTE(FY31,",",".")</f>
        <v>-2.5</v>
      </c>
      <c r="FZ33" s="18" t="str">
        <f>IF(FY31=FY32,".","")</f>
        <v/>
      </c>
      <c r="GF33" s="49">
        <v>10</v>
      </c>
      <c r="GG33" s="33" t="s">
        <v>543</v>
      </c>
      <c r="GH33" s="33" t="s">
        <v>537</v>
      </c>
      <c r="GI33" s="33" t="s">
        <v>545</v>
      </c>
      <c r="GJ33" s="18" t="str">
        <f>SUBSTITUTE(GJ31,",",".")</f>
        <v>-2.387</v>
      </c>
      <c r="GK33" s="18" t="str">
        <f>IF(GJ31=GJ32,". Y"," Y")</f>
        <v xml:space="preserve"> Y</v>
      </c>
      <c r="GL33" s="18" t="str">
        <f>SUBSTITUTE(GL31,",",".")</f>
        <v>-2.323</v>
      </c>
      <c r="GM33" s="18" t="str">
        <f>IF(GL31=GL32,".","")</f>
        <v/>
      </c>
      <c r="GS33" s="49">
        <v>10</v>
      </c>
      <c r="GT33" s="33" t="s">
        <v>543</v>
      </c>
      <c r="GU33" s="33" t="s">
        <v>537</v>
      </c>
      <c r="GV33" s="33" t="s">
        <v>545</v>
      </c>
      <c r="GW33" s="18" t="str">
        <f>SUBSTITUTE(GW31,",",".")</f>
        <v>-2.294</v>
      </c>
      <c r="GX33" s="18" t="str">
        <f>IF(GW31=GW32,". Y"," Y")</f>
        <v xml:space="preserve"> Y</v>
      </c>
      <c r="GY33" s="18" t="str">
        <f>SUBSTITUTE(GY31,",",".")</f>
        <v>-2.23</v>
      </c>
      <c r="GZ33" s="18" t="str">
        <f>IF(GY31=GY32,".","")</f>
        <v/>
      </c>
      <c r="HJ33" s="49">
        <v>10</v>
      </c>
      <c r="HK33" s="33" t="str">
        <f>IF(EU28=EU29,". C"," C")</f>
        <v xml:space="preserve"> C</v>
      </c>
      <c r="HL33" s="49"/>
      <c r="HN33" s="49"/>
      <c r="HP33" s="49"/>
    </row>
    <row r="34" spans="1:224" ht="19.95" customHeight="1">
      <c r="A34" s="144"/>
      <c r="B34" s="144"/>
      <c r="C34" s="161"/>
      <c r="D34" s="161"/>
      <c r="E34" s="161"/>
      <c r="F34" s="143"/>
      <c r="G34" s="154"/>
      <c r="H34" s="155"/>
      <c r="I34" s="153"/>
      <c r="J34" s="144"/>
      <c r="K34" s="144"/>
      <c r="L34" t="s">
        <v>1657</v>
      </c>
      <c r="M34" s="5" t="str">
        <f t="shared" si="8"/>
        <v>Acél, edzett, &lt; 65 HRC</v>
      </c>
      <c r="N34" s="5" t="s">
        <v>1864</v>
      </c>
      <c r="O34" s="65" t="s">
        <v>1038</v>
      </c>
      <c r="P34" s="5" t="s">
        <v>1030</v>
      </c>
      <c r="Q34" s="5" t="s">
        <v>1079</v>
      </c>
      <c r="R34" s="5" t="s">
        <v>639</v>
      </c>
      <c r="S34" s="5" t="s">
        <v>711</v>
      </c>
      <c r="T34" t="s">
        <v>1675</v>
      </c>
      <c r="U34" s="34" t="s">
        <v>332</v>
      </c>
      <c r="V34" s="5" t="s">
        <v>1309</v>
      </c>
      <c r="W34" s="5" t="s">
        <v>1737</v>
      </c>
      <c r="X34" s="5" t="s">
        <v>1278</v>
      </c>
      <c r="Y34" s="34" t="s">
        <v>1355</v>
      </c>
      <c r="Z34" s="34" t="s">
        <v>251</v>
      </c>
      <c r="AA34" s="5" t="s">
        <v>1359</v>
      </c>
      <c r="AB34" s="34" t="s">
        <v>575</v>
      </c>
      <c r="AC34" s="34" t="s">
        <v>6</v>
      </c>
      <c r="AD34" s="5" t="s">
        <v>775</v>
      </c>
      <c r="AE34" s="76" t="s">
        <v>1363</v>
      </c>
      <c r="AF34" s="90" t="s">
        <v>1494</v>
      </c>
      <c r="AG34" s="79" t="s">
        <v>399</v>
      </c>
      <c r="AH34" s="94" t="s">
        <v>111</v>
      </c>
      <c r="AI34" s="85" t="s">
        <v>168</v>
      </c>
      <c r="AK34" s="4">
        <v>33</v>
      </c>
      <c r="AL34" s="4">
        <v>2</v>
      </c>
      <c r="AM34" s="4">
        <v>4</v>
      </c>
      <c r="AN34" s="4">
        <v>4</v>
      </c>
      <c r="AO34" s="197" t="s">
        <v>2135</v>
      </c>
      <c r="AP34" s="198">
        <v>158.5</v>
      </c>
      <c r="AQ34">
        <v>6</v>
      </c>
      <c r="AR34">
        <v>6</v>
      </c>
      <c r="AS34">
        <v>3</v>
      </c>
      <c r="AT34">
        <v>28</v>
      </c>
      <c r="AU34">
        <v>10.43</v>
      </c>
      <c r="AV34">
        <v>63</v>
      </c>
      <c r="AW34">
        <v>7.8</v>
      </c>
      <c r="AY34" s="38">
        <f t="shared" si="0"/>
        <v>33</v>
      </c>
      <c r="AZ34" s="25" t="b">
        <f t="shared" si="1"/>
        <v>0</v>
      </c>
      <c r="BA34" s="25" t="b">
        <f t="shared" si="2"/>
        <v>0</v>
      </c>
      <c r="BB34" s="25" t="b">
        <f t="shared" si="3"/>
        <v>0</v>
      </c>
      <c r="BC34" s="25" t="b">
        <f t="shared" si="4"/>
        <v>0</v>
      </c>
      <c r="BF34" s="128" t="s">
        <v>1817</v>
      </c>
      <c r="BG34" s="128"/>
      <c r="BI34" s="13"/>
      <c r="BJ34" s="15"/>
      <c r="BK34" s="15" t="s">
        <v>636</v>
      </c>
      <c r="BL34" s="9"/>
      <c r="BM34" s="10"/>
      <c r="BN34" s="10"/>
      <c r="BO34" s="7"/>
      <c r="BP34" s="10"/>
      <c r="BQ34" s="10"/>
      <c r="BR34" s="10"/>
      <c r="BS34" s="10"/>
      <c r="BT34" s="10"/>
      <c r="CA34" s="33">
        <v>1010112</v>
      </c>
      <c r="CB34" s="33">
        <f t="shared" ca="1" si="26"/>
        <v>0</v>
      </c>
      <c r="CD34" s="39"/>
      <c r="CR34" s="44"/>
      <c r="ED34" s="46"/>
      <c r="EE34" s="18"/>
      <c r="EF34" s="18"/>
      <c r="EG34" s="18"/>
      <c r="EH34" s="18"/>
      <c r="EI34" s="18"/>
      <c r="EJ34" s="18"/>
      <c r="EK34" s="18"/>
      <c r="EL34" s="18"/>
      <c r="EM34" s="18"/>
      <c r="EN34" s="18"/>
      <c r="EO34" s="18"/>
      <c r="EP34" s="18"/>
      <c r="EQ34" s="49"/>
      <c r="ER34" s="18"/>
      <c r="ES34" s="18"/>
      <c r="ET34" s="18"/>
      <c r="EU34" s="18"/>
      <c r="EV34" s="18"/>
      <c r="EW34" s="18"/>
      <c r="EX34" s="11">
        <f>BT6</f>
        <v>2</v>
      </c>
      <c r="EY34" s="18"/>
      <c r="EZ34" s="18">
        <f>-(2*BY69)</f>
        <v>-4.7859999999999996</v>
      </c>
      <c r="FA34" s="18"/>
      <c r="FB34" s="18"/>
      <c r="FC34" s="25"/>
      <c r="FD34" s="49"/>
      <c r="FE34" s="122"/>
      <c r="FF34" s="122"/>
      <c r="FG34" s="124">
        <f>BX7-(BT6*1.25)</f>
        <v>27.5</v>
      </c>
    </row>
    <row r="35" spans="1:224" ht="19.95" customHeight="1">
      <c r="A35" s="144"/>
      <c r="B35" s="144"/>
      <c r="C35" s="144"/>
      <c r="D35" s="144"/>
      <c r="E35" s="144"/>
      <c r="F35" s="143"/>
      <c r="G35" s="143"/>
      <c r="H35" s="143"/>
      <c r="I35" s="143"/>
      <c r="J35" s="143"/>
      <c r="K35" s="143"/>
      <c r="L35" t="s">
        <v>654</v>
      </c>
      <c r="M35" s="5" t="str">
        <f t="shared" si="8"/>
        <v>Öntöttvas, lemezgrafitos, &lt; 500 N/mm2</v>
      </c>
      <c r="N35" s="5" t="s">
        <v>1865</v>
      </c>
      <c r="O35" s="65" t="s">
        <v>1039</v>
      </c>
      <c r="P35" s="5" t="s">
        <v>799</v>
      </c>
      <c r="Q35" s="5" t="s">
        <v>1080</v>
      </c>
      <c r="R35" s="5" t="s">
        <v>759</v>
      </c>
      <c r="S35" s="5" t="s">
        <v>856</v>
      </c>
      <c r="T35" t="s">
        <v>1676</v>
      </c>
      <c r="U35" s="34" t="s">
        <v>333</v>
      </c>
      <c r="V35" s="5" t="s">
        <v>1196</v>
      </c>
      <c r="W35" s="5" t="s">
        <v>1738</v>
      </c>
      <c r="X35" s="5" t="s">
        <v>1195</v>
      </c>
      <c r="Y35" s="34" t="s">
        <v>1356</v>
      </c>
      <c r="Z35" s="34" t="s">
        <v>252</v>
      </c>
      <c r="AA35" s="5" t="s">
        <v>1360</v>
      </c>
      <c r="AB35" s="34" t="s">
        <v>576</v>
      </c>
      <c r="AC35" s="34" t="s">
        <v>7</v>
      </c>
      <c r="AD35" s="5" t="s">
        <v>947</v>
      </c>
      <c r="AE35" s="76" t="s">
        <v>1364</v>
      </c>
      <c r="AF35" s="90" t="s">
        <v>1495</v>
      </c>
      <c r="AG35" s="79" t="s">
        <v>400</v>
      </c>
      <c r="AH35" s="94" t="s">
        <v>112</v>
      </c>
      <c r="AI35" s="85" t="s">
        <v>291</v>
      </c>
      <c r="AK35" s="4">
        <v>34</v>
      </c>
      <c r="AL35" s="4">
        <v>2</v>
      </c>
      <c r="AM35" s="4">
        <v>4</v>
      </c>
      <c r="AN35" s="4">
        <v>6</v>
      </c>
      <c r="AO35" s="197" t="s">
        <v>2136</v>
      </c>
      <c r="AP35" s="198">
        <v>158.5</v>
      </c>
      <c r="AQ35">
        <v>6</v>
      </c>
      <c r="AR35">
        <v>6</v>
      </c>
      <c r="AS35">
        <v>3</v>
      </c>
      <c r="AT35">
        <v>27</v>
      </c>
      <c r="AU35">
        <v>10.82</v>
      </c>
      <c r="AV35">
        <v>63</v>
      </c>
      <c r="AW35">
        <v>7</v>
      </c>
      <c r="AY35" s="38">
        <f t="shared" si="0"/>
        <v>34</v>
      </c>
      <c r="AZ35" s="25" t="b">
        <f t="shared" si="1"/>
        <v>0</v>
      </c>
      <c r="BA35" s="25" t="b">
        <f t="shared" si="2"/>
        <v>0</v>
      </c>
      <c r="BB35" s="25" t="b">
        <f t="shared" si="3"/>
        <v>0</v>
      </c>
      <c r="BC35" s="25" t="b">
        <f t="shared" si="4"/>
        <v>0</v>
      </c>
      <c r="BF35" s="128" t="s">
        <v>1812</v>
      </c>
      <c r="BG35" s="128"/>
      <c r="BI35" s="13"/>
      <c r="BJ35" s="15" t="s">
        <v>979</v>
      </c>
      <c r="BK35" s="15">
        <v>1</v>
      </c>
      <c r="BL35" s="15">
        <f>BK35+1</f>
        <v>2</v>
      </c>
      <c r="BM35" s="15">
        <f t="shared" ref="BM35:BT35" si="27">BL35+1</f>
        <v>3</v>
      </c>
      <c r="BN35" s="15">
        <f t="shared" si="27"/>
        <v>4</v>
      </c>
      <c r="BO35" s="15">
        <f t="shared" si="27"/>
        <v>5</v>
      </c>
      <c r="BP35" s="15">
        <f t="shared" si="27"/>
        <v>6</v>
      </c>
      <c r="BQ35" s="15">
        <f t="shared" si="27"/>
        <v>7</v>
      </c>
      <c r="BR35" s="15">
        <f t="shared" si="27"/>
        <v>8</v>
      </c>
      <c r="BS35" s="15">
        <f t="shared" si="27"/>
        <v>9</v>
      </c>
      <c r="BT35" s="15">
        <f t="shared" si="27"/>
        <v>10</v>
      </c>
      <c r="CA35" s="33">
        <v>1010121</v>
      </c>
      <c r="CB35" s="33">
        <f t="shared" ca="1" si="26"/>
        <v>0</v>
      </c>
      <c r="CD35" s="39"/>
      <c r="CR35" s="44"/>
      <c r="EA35" s="18"/>
      <c r="ED35" s="46"/>
      <c r="EE35" s="18"/>
      <c r="EF35" s="18"/>
      <c r="EG35" s="18"/>
      <c r="EH35" s="18"/>
      <c r="EI35" s="18"/>
      <c r="EJ35" s="18"/>
      <c r="EK35" s="18"/>
      <c r="EL35" s="18"/>
      <c r="EM35" s="18"/>
      <c r="EN35" s="18"/>
      <c r="EO35" s="18"/>
      <c r="EP35" s="18"/>
      <c r="EX35" s="25">
        <f>INT(EX34)</f>
        <v>2</v>
      </c>
      <c r="EZ35" s="25">
        <f>INT(EZ34)</f>
        <v>-5</v>
      </c>
      <c r="FC35" s="25"/>
      <c r="FE35" s="122"/>
      <c r="FF35" s="122"/>
      <c r="FG35" s="121">
        <f>INT(FG34)</f>
        <v>27</v>
      </c>
    </row>
    <row r="36" spans="1:224" ht="16.05" customHeight="1">
      <c r="L36" t="s">
        <v>655</v>
      </c>
      <c r="M36" s="5" t="str">
        <f t="shared" si="8"/>
        <v>Öntöttvas, lemezgrafitos, &lt; 1000 N/mm2</v>
      </c>
      <c r="N36" s="5" t="s">
        <v>1866</v>
      </c>
      <c r="O36" s="65" t="s">
        <v>1040</v>
      </c>
      <c r="P36" s="5" t="s">
        <v>876</v>
      </c>
      <c r="Q36" s="5" t="s">
        <v>1081</v>
      </c>
      <c r="R36" s="5" t="s">
        <v>822</v>
      </c>
      <c r="S36" s="5" t="s">
        <v>857</v>
      </c>
      <c r="T36" t="s">
        <v>1677</v>
      </c>
      <c r="U36" s="34" t="s">
        <v>379</v>
      </c>
      <c r="V36" s="5" t="s">
        <v>1256</v>
      </c>
      <c r="W36" s="5" t="s">
        <v>1739</v>
      </c>
      <c r="X36" s="5" t="s">
        <v>1128</v>
      </c>
      <c r="Y36" s="34" t="s">
        <v>1588</v>
      </c>
      <c r="Z36" s="34" t="s">
        <v>253</v>
      </c>
      <c r="AA36" s="5" t="s">
        <v>1298</v>
      </c>
      <c r="AB36" s="34" t="s">
        <v>517</v>
      </c>
      <c r="AC36" s="34" t="s">
        <v>8</v>
      </c>
      <c r="AD36" s="5" t="s">
        <v>762</v>
      </c>
      <c r="AE36" s="76" t="s">
        <v>1365</v>
      </c>
      <c r="AF36" s="90" t="s">
        <v>1496</v>
      </c>
      <c r="AG36" s="79" t="s">
        <v>319</v>
      </c>
      <c r="AH36" s="94" t="s">
        <v>113</v>
      </c>
      <c r="AI36" s="85" t="s">
        <v>169</v>
      </c>
      <c r="AK36" s="4">
        <v>35</v>
      </c>
      <c r="AL36" s="4">
        <v>2</v>
      </c>
      <c r="AM36" s="4">
        <v>4</v>
      </c>
      <c r="AN36" s="4">
        <v>5</v>
      </c>
      <c r="AO36" s="197" t="s">
        <v>2137</v>
      </c>
      <c r="AP36" s="198">
        <v>158.5</v>
      </c>
      <c r="AQ36">
        <v>6</v>
      </c>
      <c r="AR36">
        <v>6</v>
      </c>
      <c r="AS36">
        <v>3</v>
      </c>
      <c r="AT36">
        <v>27</v>
      </c>
      <c r="AU36">
        <v>10.82</v>
      </c>
      <c r="AV36">
        <v>63</v>
      </c>
      <c r="AW36">
        <v>7</v>
      </c>
      <c r="AY36" s="38">
        <f t="shared" si="0"/>
        <v>35</v>
      </c>
      <c r="AZ36" s="25" t="b">
        <f t="shared" si="1"/>
        <v>0</v>
      </c>
      <c r="BA36" s="25" t="b">
        <f t="shared" si="2"/>
        <v>0</v>
      </c>
      <c r="BB36" s="25" t="b">
        <f t="shared" si="3"/>
        <v>0</v>
      </c>
      <c r="BC36" s="25" t="b">
        <f t="shared" si="4"/>
        <v>0</v>
      </c>
      <c r="BF36" s="128" t="s">
        <v>1654</v>
      </c>
      <c r="BG36" s="128"/>
      <c r="BI36" s="13"/>
      <c r="BJ36" s="7" t="s">
        <v>881</v>
      </c>
      <c r="BK36" s="16">
        <v>5.0000000000000001E-3</v>
      </c>
      <c r="BL36" s="16">
        <v>5.7000000000000002E-2</v>
      </c>
      <c r="BM36" s="16">
        <f t="shared" ref="BM36:BT36" si="28">BL36*1.14</f>
        <v>6.4979999999999996E-2</v>
      </c>
      <c r="BN36" s="16">
        <f t="shared" si="28"/>
        <v>7.4077199999999996E-2</v>
      </c>
      <c r="BO36" s="16">
        <f t="shared" si="28"/>
        <v>8.4448007999999991E-2</v>
      </c>
      <c r="BP36" s="16">
        <f t="shared" si="28"/>
        <v>9.6270729119999982E-2</v>
      </c>
      <c r="BQ36" s="16">
        <f t="shared" si="28"/>
        <v>0.10974863119679996</v>
      </c>
      <c r="BR36" s="16">
        <f t="shared" si="28"/>
        <v>0.12511343956435195</v>
      </c>
      <c r="BS36" s="16">
        <f t="shared" si="28"/>
        <v>0.14262932110336121</v>
      </c>
      <c r="BT36" s="16">
        <f t="shared" si="28"/>
        <v>0.16259742605783176</v>
      </c>
      <c r="CA36" s="33">
        <v>1010122</v>
      </c>
      <c r="CB36" s="33">
        <f t="shared" ca="1" si="26"/>
        <v>0</v>
      </c>
      <c r="CD36" s="39">
        <v>11</v>
      </c>
      <c r="CE36" s="45" t="str">
        <f ca="1">LOOKUP(CB$54,CF$5:DP$5,CF36:DP36)</f>
        <v>G03 X0. Y0. Z2. I-5. J0.</v>
      </c>
      <c r="CF36" s="45"/>
      <c r="CH36" s="44" t="str">
        <f>CONCATENATE(CD36,DR103,DS103,DT103,DU103,DV103)</f>
        <v>11 L IX-2.5 IY-2.5 R0</v>
      </c>
      <c r="CI36" s="44" t="str">
        <f>CG18</f>
        <v>G03 X0. Y0. Z2. I-5. J0.</v>
      </c>
      <c r="CJ36" s="44" t="str">
        <f>CONCATENATE(CD36,EE103,EF103,EG103,EH103,EI103)</f>
        <v>11 L IX-2.323 IY-2.323 R0</v>
      </c>
      <c r="CK36" s="44" t="str">
        <f>CONCATENATE(ER36,ES36,ET36,EU36,EV36,EW36,EX36,EY36,EZ36,FA36,FB36,FC36)</f>
        <v>G03 X0. Y0. Z2. I-4.786 J0.</v>
      </c>
      <c r="CL36" s="44" t="str">
        <f>CONCATENATE(CD36,ER103,ES103,ET103,EU103,EV103)</f>
        <v>11 L IX-2.23 IY-2.23 R0</v>
      </c>
      <c r="CM36" s="44" t="str">
        <f>CONCATENATE(FE36,FF36,FG36,FH36)</f>
        <v>G00 Z27.5</v>
      </c>
      <c r="CN36" s="44" t="str">
        <f>CONCATENATE(CD36,DR94,DS94,DT94)</f>
        <v>11 CP IPA+360 IZ+2 DR+</v>
      </c>
      <c r="CO36" s="44" t="str">
        <f>CI27</f>
        <v>G00 Z-2.5</v>
      </c>
      <c r="CP36" s="44" t="str">
        <f>CONCATENATE(CD36,DR94,DS94,DT94)</f>
        <v>11 CP IPA+360 IZ+2 DR+</v>
      </c>
      <c r="CQ36" s="4" t="str">
        <f>CK27</f>
        <v>G00 Z-2.5</v>
      </c>
      <c r="CR36" s="44" t="str">
        <f>CONCATENATE(CD36,DR94,DS94,DT94)</f>
        <v>11 CP IPA+360 IZ+2 DR+</v>
      </c>
      <c r="CS36" s="4" t="str">
        <f>CG21</f>
        <v>G03 X-2.5 Y2.5 Z0.25 I-2.5 J0.</v>
      </c>
      <c r="CT36" s="44" t="str">
        <f>CN36</f>
        <v>11 CP IPA+360 IZ+2 DR+</v>
      </c>
      <c r="CU36" s="44" t="str">
        <f>CI21</f>
        <v>G03 X-2.323 Y2.323 Z0.25 I-2.323 J0.</v>
      </c>
      <c r="CV36" s="44" t="str">
        <f>CT36</f>
        <v>11 CP IPA+360 IZ+2 DR+</v>
      </c>
      <c r="CW36" s="44" t="str">
        <f>CK21</f>
        <v>G03 X-2.23 Y2.23 Z0.25 I-2.23 J0.</v>
      </c>
      <c r="CX36" s="127" t="str">
        <f>CR36</f>
        <v>11 CP IPA+360 IZ+2 DR+</v>
      </c>
      <c r="CY36" s="44" t="str">
        <f>CG27</f>
        <v>G00 Z102.5</v>
      </c>
      <c r="CZ36" s="127" t="str">
        <f>CONCATENATE(CD36,FT103,GB24,DT82,GD24)</f>
        <v>11 CC IX+5.032 IY-0.016</v>
      </c>
      <c r="DA36" s="44" t="str">
        <f>CI27</f>
        <v>G00 Z-2.5</v>
      </c>
      <c r="DB36" s="127" t="str">
        <f>CONCATENATE(CD36,FT103,GO24,DT82,GQ24)</f>
        <v>11 CC IX+4.678 IY-0.016</v>
      </c>
      <c r="DC36" s="44" t="str">
        <f>CK27</f>
        <v>G00 Z-2.5</v>
      </c>
      <c r="DD36" s="127" t="str">
        <f>CONCATENATE(CD36,FT103,HB24,DT82,HD24)</f>
        <v>11 CC IX+4.492 IY-0.016</v>
      </c>
      <c r="DF36" s="44" t="str">
        <f>DE18</f>
        <v>G03 X2.5 C2.5 Z0.25 I0. J2.5</v>
      </c>
      <c r="DG36" s="44" t="str">
        <f>CONCATENATE(ER33,ES33,ET33,HK33,EV33,EW33,EX33,EY33,EZ33,FA33,FB33,FC33)</f>
        <v>G03 X2.393 C2.393 Z0.25 I0. J2.393</v>
      </c>
      <c r="DH36" s="44" t="str">
        <f>DE27</f>
        <v>G01 G40 X-2.5 C-2.5</v>
      </c>
      <c r="DI36" s="44" t="str">
        <f>DF27</f>
        <v>G01 G40 X-2.323 C-2.323</v>
      </c>
      <c r="DJ36" s="44" t="str">
        <f>DG27</f>
        <v>G01 G40 X-2.23 C-2.23</v>
      </c>
      <c r="DK36" s="44" t="str">
        <f>CS33</f>
        <v>END1</v>
      </c>
      <c r="DL36" s="44" t="str">
        <f>DK36</f>
        <v>END1</v>
      </c>
      <c r="DM36" s="44" t="str">
        <f>DL36</f>
        <v>END1</v>
      </c>
      <c r="DN36" s="44" t="str">
        <f>CONCATENATE(FT33,FU33,FV33,FW33,HM36,FY33,FZ33)</f>
        <v>G01 G40 X-2.564 C-2.5</v>
      </c>
      <c r="DO36" s="44" t="str">
        <f>CONCATENATE(GG33,GH33,GI33,GJ33,HO36,GL33,GM33)</f>
        <v>G01 G40 X-2.387 C-2.323</v>
      </c>
      <c r="DP36" s="44" t="str">
        <f>CONCATENATE(GT33,GU33,GV33,GW33,HQ36,GY33,GZ33)</f>
        <v>G01 G40 X-2.294-2.23</v>
      </c>
      <c r="EA36" s="18"/>
      <c r="ED36" s="46"/>
      <c r="EE36" s="18"/>
      <c r="EF36" s="18"/>
      <c r="EG36" s="18"/>
      <c r="EH36" s="18"/>
      <c r="EI36" s="18"/>
      <c r="EJ36" s="18"/>
      <c r="EK36" s="18"/>
      <c r="EL36" s="18"/>
      <c r="EM36" s="18"/>
      <c r="EN36" s="18"/>
      <c r="EO36" s="18"/>
      <c r="EP36" s="18"/>
      <c r="EQ36" s="49">
        <v>11</v>
      </c>
      <c r="ER36" s="18" t="s">
        <v>546</v>
      </c>
      <c r="ES36" s="18" t="s">
        <v>545</v>
      </c>
      <c r="ET36" s="18">
        <v>0</v>
      </c>
      <c r="EU36" s="18" t="s">
        <v>551</v>
      </c>
      <c r="EV36" s="18">
        <v>0</v>
      </c>
      <c r="EW36" s="18" t="s">
        <v>552</v>
      </c>
      <c r="EX36" s="18" t="str">
        <f>SUBSTITUTE(EX34,",",".")</f>
        <v>2</v>
      </c>
      <c r="EY36" s="18" t="str">
        <f>IF(EX34=EX35,". I"," I")</f>
        <v>. I</v>
      </c>
      <c r="EZ36" s="18" t="str">
        <f>SUBSTITUTE(EZ34,",",".")</f>
        <v>-4.786</v>
      </c>
      <c r="FA36" s="18" t="str">
        <f>IF(EZ34=EZ35,". J"," J")</f>
        <v xml:space="preserve"> J</v>
      </c>
      <c r="FB36" s="18">
        <v>0</v>
      </c>
      <c r="FC36" s="25" t="s">
        <v>1022</v>
      </c>
      <c r="FD36" s="49">
        <v>11</v>
      </c>
      <c r="FE36" s="122" t="s">
        <v>540</v>
      </c>
      <c r="FF36" s="122" t="s">
        <v>542</v>
      </c>
      <c r="FG36" s="122" t="str">
        <f>SUBSTITUTE(FG34,",",".")</f>
        <v>27.5</v>
      </c>
      <c r="FH36" s="122" t="str">
        <f>IF(FG34=FG35,".","")</f>
        <v/>
      </c>
      <c r="HL36" s="49">
        <v>11</v>
      </c>
      <c r="HM36" s="33" t="str">
        <f>IF(FW31=FW32,". C"," C")</f>
        <v xml:space="preserve"> C</v>
      </c>
      <c r="HN36" s="49">
        <v>11</v>
      </c>
      <c r="HO36" s="33" t="str">
        <f>IF(GJ31=GJ32,". C"," C")</f>
        <v xml:space="preserve"> C</v>
      </c>
      <c r="HP36" s="49">
        <v>11</v>
      </c>
    </row>
    <row r="37" spans="1:224" ht="16.05" customHeight="1">
      <c r="J37" s="62"/>
      <c r="K37" s="62"/>
      <c r="L37" t="s">
        <v>1656</v>
      </c>
      <c r="M37" s="5" t="str">
        <f t="shared" si="8"/>
        <v>Öntöttvas, gömbgrafitos, &lt; 700 N/mm2</v>
      </c>
      <c r="N37" s="5" t="s">
        <v>1867</v>
      </c>
      <c r="O37" s="65" t="s">
        <v>1041</v>
      </c>
      <c r="P37" s="5" t="s">
        <v>877</v>
      </c>
      <c r="Q37" s="5" t="s">
        <v>1082</v>
      </c>
      <c r="R37" s="5" t="s">
        <v>900</v>
      </c>
      <c r="S37" s="5" t="s">
        <v>965</v>
      </c>
      <c r="T37" t="s">
        <v>1678</v>
      </c>
      <c r="U37" s="34" t="s">
        <v>450</v>
      </c>
      <c r="V37" s="5" t="s">
        <v>1257</v>
      </c>
      <c r="W37" s="5" t="s">
        <v>1740</v>
      </c>
      <c r="X37" s="5" t="s">
        <v>1218</v>
      </c>
      <c r="Y37" s="34" t="s">
        <v>1479</v>
      </c>
      <c r="Z37" s="34" t="s">
        <v>254</v>
      </c>
      <c r="AA37" s="5" t="s">
        <v>1299</v>
      </c>
      <c r="AB37" s="34" t="s">
        <v>478</v>
      </c>
      <c r="AC37" s="34" t="s">
        <v>9</v>
      </c>
      <c r="AD37" s="5" t="s">
        <v>763</v>
      </c>
      <c r="AE37" s="76" t="s">
        <v>1366</v>
      </c>
      <c r="AF37" s="90" t="s">
        <v>1497</v>
      </c>
      <c r="AG37" s="79" t="s">
        <v>401</v>
      </c>
      <c r="AH37" s="94" t="s">
        <v>114</v>
      </c>
      <c r="AI37" s="85" t="s">
        <v>170</v>
      </c>
      <c r="AK37" s="4">
        <v>36</v>
      </c>
      <c r="AL37" s="4">
        <v>5</v>
      </c>
      <c r="AO37" s="197" t="s">
        <v>2138</v>
      </c>
      <c r="AP37" s="198">
        <v>72.5</v>
      </c>
      <c r="AQ37">
        <v>4</v>
      </c>
      <c r="AR37">
        <v>4</v>
      </c>
      <c r="AS37">
        <v>3</v>
      </c>
      <c r="AU37">
        <v>14.5</v>
      </c>
      <c r="AV37">
        <v>51</v>
      </c>
      <c r="AW37">
        <v>4.9000000000000004</v>
      </c>
      <c r="AY37" s="38">
        <f t="shared" si="0"/>
        <v>36</v>
      </c>
      <c r="AZ37" s="25" t="b">
        <f t="shared" si="1"/>
        <v>0</v>
      </c>
      <c r="BA37" s="25" t="b">
        <f t="shared" si="2"/>
        <v>0</v>
      </c>
      <c r="BB37" s="25" t="b">
        <f t="shared" si="3"/>
        <v>0</v>
      </c>
      <c r="BC37" s="25" t="b">
        <f t="shared" si="4"/>
        <v>0</v>
      </c>
      <c r="BF37" s="128"/>
      <c r="BG37" s="128"/>
      <c r="BI37" s="17">
        <v>100</v>
      </c>
      <c r="BJ37" s="7">
        <v>0.1</v>
      </c>
      <c r="BK37" s="10">
        <v>1.75</v>
      </c>
      <c r="BL37" s="10">
        <f>BK37/1.1</f>
        <v>1.5909090909090908</v>
      </c>
      <c r="BM37" s="10">
        <f>BL37/1.1</f>
        <v>1.446280991735537</v>
      </c>
      <c r="BN37" s="10">
        <f t="shared" ref="BN37:BT37" si="29">BM37/1.1</f>
        <v>1.3148009015777609</v>
      </c>
      <c r="BO37" s="10">
        <f t="shared" si="29"/>
        <v>1.1952735468888733</v>
      </c>
      <c r="BP37" s="10">
        <f t="shared" si="29"/>
        <v>1.0866123153535212</v>
      </c>
      <c r="BQ37" s="10">
        <f t="shared" si="29"/>
        <v>0.98782937759411016</v>
      </c>
      <c r="BR37" s="10">
        <f t="shared" si="29"/>
        <v>0.89802670690373643</v>
      </c>
      <c r="BS37" s="10">
        <f t="shared" si="29"/>
        <v>0.81638791536703303</v>
      </c>
      <c r="BT37" s="10">
        <f t="shared" si="29"/>
        <v>0.7421708321518482</v>
      </c>
      <c r="CA37" s="33">
        <v>1010131</v>
      </c>
      <c r="CB37" s="33">
        <f t="shared" ca="1" si="26"/>
        <v>0</v>
      </c>
      <c r="CD37" s="39"/>
      <c r="CR37" s="44"/>
      <c r="EA37" s="18"/>
      <c r="ED37" s="46"/>
      <c r="EE37" s="18"/>
      <c r="EF37" s="18"/>
      <c r="EG37" s="18"/>
      <c r="EH37" s="18"/>
      <c r="EI37" s="18"/>
      <c r="EJ37" s="18"/>
      <c r="EK37" s="18"/>
      <c r="EL37" s="18"/>
      <c r="EM37" s="18"/>
      <c r="EN37" s="18"/>
      <c r="EO37" s="18"/>
      <c r="EP37" s="18"/>
      <c r="EQ37" s="49"/>
      <c r="ER37" s="18"/>
      <c r="ES37" s="18"/>
      <c r="ET37" s="18">
        <f>-BY69</f>
        <v>-2.3929999999999998</v>
      </c>
      <c r="EU37" s="18"/>
      <c r="EV37" s="18">
        <f>BY69</f>
        <v>2.3929999999999998</v>
      </c>
      <c r="EW37" s="18"/>
      <c r="EX37" s="18">
        <f>ROUND(BT6/8,3)</f>
        <v>0.25</v>
      </c>
      <c r="EY37" s="18"/>
      <c r="EZ37" s="18">
        <f>-BY69</f>
        <v>-2.3929999999999998</v>
      </c>
      <c r="FA37" s="18"/>
      <c r="FB37" s="18"/>
      <c r="FC37" s="25"/>
      <c r="FD37" s="49"/>
    </row>
    <row r="38" spans="1:224" ht="16.05" customHeight="1">
      <c r="L38" t="s">
        <v>652</v>
      </c>
      <c r="M38" s="5" t="str">
        <f t="shared" si="8"/>
        <v>Öntöttvas, gömbgrafitos, &lt; 1000 N/mm2</v>
      </c>
      <c r="N38" s="5" t="s">
        <v>1868</v>
      </c>
      <c r="O38" s="65" t="s">
        <v>1042</v>
      </c>
      <c r="P38" s="5" t="s">
        <v>924</v>
      </c>
      <c r="Q38" s="5" t="s">
        <v>1083</v>
      </c>
      <c r="R38" s="5" t="s">
        <v>687</v>
      </c>
      <c r="S38" s="5" t="s">
        <v>966</v>
      </c>
      <c r="T38" t="s">
        <v>1679</v>
      </c>
      <c r="U38" s="34" t="s">
        <v>367</v>
      </c>
      <c r="V38" s="5" t="s">
        <v>1258</v>
      </c>
      <c r="W38" s="5" t="s">
        <v>1741</v>
      </c>
      <c r="X38" s="5" t="s">
        <v>1219</v>
      </c>
      <c r="Y38" s="34" t="s">
        <v>1584</v>
      </c>
      <c r="Z38" s="34" t="s">
        <v>243</v>
      </c>
      <c r="AA38" s="5" t="s">
        <v>1300</v>
      </c>
      <c r="AB38" s="34" t="s">
        <v>479</v>
      </c>
      <c r="AC38" s="34" t="s">
        <v>10</v>
      </c>
      <c r="AD38" s="5" t="s">
        <v>692</v>
      </c>
      <c r="AE38" s="76" t="s">
        <v>1367</v>
      </c>
      <c r="AF38" s="90" t="s">
        <v>1592</v>
      </c>
      <c r="AG38" s="79" t="s">
        <v>402</v>
      </c>
      <c r="AH38" s="94" t="s">
        <v>115</v>
      </c>
      <c r="AI38" s="85" t="s">
        <v>161</v>
      </c>
      <c r="AK38" s="4">
        <v>37</v>
      </c>
      <c r="AL38" s="4">
        <v>5</v>
      </c>
      <c r="AO38" s="197" t="s">
        <v>2139</v>
      </c>
      <c r="AP38" s="198">
        <v>72.5</v>
      </c>
      <c r="AQ38">
        <v>4</v>
      </c>
      <c r="AR38">
        <v>4</v>
      </c>
      <c r="AS38">
        <v>3</v>
      </c>
      <c r="AU38">
        <v>10</v>
      </c>
      <c r="AV38">
        <v>51</v>
      </c>
      <c r="AW38">
        <v>4.9000000000000004</v>
      </c>
      <c r="AY38" s="38">
        <f t="shared" si="0"/>
        <v>37</v>
      </c>
      <c r="AZ38" s="25" t="b">
        <f t="shared" si="1"/>
        <v>0</v>
      </c>
      <c r="BA38" s="25" t="b">
        <f t="shared" si="2"/>
        <v>0</v>
      </c>
      <c r="BB38" s="25" t="b">
        <f t="shared" si="3"/>
        <v>0</v>
      </c>
      <c r="BC38" s="25" t="b">
        <f t="shared" si="4"/>
        <v>0</v>
      </c>
      <c r="BF38" s="128" t="s">
        <v>1655</v>
      </c>
      <c r="BG38" s="128"/>
      <c r="BI38" s="17">
        <f>BI37+100</f>
        <v>200</v>
      </c>
      <c r="BJ38" s="7">
        <v>1.135</v>
      </c>
      <c r="BK38" s="10">
        <f t="shared" ref="BK38:BT48" si="30">BK37/1.1</f>
        <v>1.5909090909090908</v>
      </c>
      <c r="BL38" s="10">
        <f t="shared" si="30"/>
        <v>1.446280991735537</v>
      </c>
      <c r="BM38" s="10">
        <f t="shared" si="30"/>
        <v>1.3148009015777609</v>
      </c>
      <c r="BN38" s="10">
        <f t="shared" si="30"/>
        <v>1.1952735468888733</v>
      </c>
      <c r="BO38" s="10">
        <f t="shared" si="30"/>
        <v>1.0866123153535212</v>
      </c>
      <c r="BP38" s="10">
        <f t="shared" si="30"/>
        <v>0.98782937759411016</v>
      </c>
      <c r="BQ38" s="10">
        <f t="shared" si="30"/>
        <v>0.89802670690373643</v>
      </c>
      <c r="BR38" s="10">
        <f t="shared" si="30"/>
        <v>0.81638791536703303</v>
      </c>
      <c r="BS38" s="10">
        <f t="shared" si="30"/>
        <v>0.7421708321518482</v>
      </c>
      <c r="BT38" s="10">
        <f>BT37/1.1</f>
        <v>0.67470075650168015</v>
      </c>
      <c r="CA38" s="33">
        <v>1010132</v>
      </c>
      <c r="CB38" s="33">
        <f t="shared" ca="1" si="26"/>
        <v>0</v>
      </c>
      <c r="CD38" s="39"/>
      <c r="CR38" s="44"/>
      <c r="EA38" s="18"/>
      <c r="ED38" s="46"/>
      <c r="EE38" s="18"/>
      <c r="EF38" s="18"/>
      <c r="EG38" s="18"/>
      <c r="EH38" s="18"/>
      <c r="EI38" s="18"/>
      <c r="EJ38" s="18"/>
      <c r="EK38" s="18"/>
      <c r="EL38" s="18"/>
      <c r="EM38" s="18"/>
      <c r="EN38" s="18"/>
      <c r="EO38" s="18"/>
      <c r="EP38" s="18"/>
      <c r="ET38" s="25">
        <f>INT(ET37)</f>
        <v>-3</v>
      </c>
      <c r="EV38" s="25">
        <f>INT(EV37)</f>
        <v>2</v>
      </c>
      <c r="EX38" s="25">
        <f>INT(EX37)</f>
        <v>0</v>
      </c>
      <c r="EZ38" s="25">
        <f>INT(EZ37)</f>
        <v>-3</v>
      </c>
      <c r="FC38" s="25"/>
    </row>
    <row r="39" spans="1:224" ht="16.05" customHeight="1">
      <c r="L39" t="s">
        <v>656</v>
      </c>
      <c r="M39" s="5" t="str">
        <f t="shared" si="8"/>
        <v>Korrózióálló acél, jól forgácsolható</v>
      </c>
      <c r="N39" s="5" t="s">
        <v>1869</v>
      </c>
      <c r="O39" s="65" t="s">
        <v>1043</v>
      </c>
      <c r="P39" s="5" t="s">
        <v>925</v>
      </c>
      <c r="Q39" s="5" t="s">
        <v>1084</v>
      </c>
      <c r="R39" s="5" t="s">
        <v>616</v>
      </c>
      <c r="S39" s="5" t="s">
        <v>755</v>
      </c>
      <c r="T39" t="s">
        <v>1680</v>
      </c>
      <c r="U39" s="34" t="s">
        <v>368</v>
      </c>
      <c r="V39" s="5" t="s">
        <v>1264</v>
      </c>
      <c r="W39" s="5" t="s">
        <v>1742</v>
      </c>
      <c r="X39" s="5" t="s">
        <v>1220</v>
      </c>
      <c r="Y39" s="34" t="s">
        <v>1585</v>
      </c>
      <c r="Z39" s="34" t="s">
        <v>244</v>
      </c>
      <c r="AA39" s="5" t="s">
        <v>1301</v>
      </c>
      <c r="AB39" s="34" t="s">
        <v>480</v>
      </c>
      <c r="AC39" s="34" t="s">
        <v>606</v>
      </c>
      <c r="AD39" s="5" t="s">
        <v>693</v>
      </c>
      <c r="AE39" s="76" t="s">
        <v>1436</v>
      </c>
      <c r="AF39" s="90" t="s">
        <v>1593</v>
      </c>
      <c r="AG39" s="79" t="s">
        <v>366</v>
      </c>
      <c r="AH39" s="94" t="s">
        <v>193</v>
      </c>
      <c r="AI39" s="85" t="s">
        <v>162</v>
      </c>
      <c r="AK39" s="4">
        <v>38</v>
      </c>
      <c r="AL39" s="4">
        <v>5</v>
      </c>
      <c r="AO39" s="197" t="s">
        <v>2140</v>
      </c>
      <c r="AP39" s="198">
        <v>72.5</v>
      </c>
      <c r="AQ39">
        <v>4</v>
      </c>
      <c r="AR39">
        <v>3.6</v>
      </c>
      <c r="AS39">
        <v>3</v>
      </c>
      <c r="AU39">
        <v>8.3000000000000007</v>
      </c>
      <c r="AV39">
        <v>51</v>
      </c>
      <c r="AW39">
        <v>4.4000000000000004</v>
      </c>
      <c r="AY39" s="38">
        <f t="shared" si="0"/>
        <v>38</v>
      </c>
      <c r="AZ39" s="25" t="b">
        <f t="shared" si="1"/>
        <v>0</v>
      </c>
      <c r="BA39" s="25" t="b">
        <f t="shared" si="2"/>
        <v>0</v>
      </c>
      <c r="BB39" s="25" t="b">
        <f t="shared" si="3"/>
        <v>0</v>
      </c>
      <c r="BC39" s="25" t="b">
        <f t="shared" si="4"/>
        <v>0</v>
      </c>
      <c r="BF39" s="128" t="s">
        <v>1813</v>
      </c>
      <c r="BG39" s="128"/>
      <c r="BI39" s="17">
        <f t="shared" ref="BI39:BI48" si="31">BI38+100</f>
        <v>300</v>
      </c>
      <c r="BJ39" s="7">
        <f t="shared" ref="BJ39:BJ48" si="32">BJ38*1.135</f>
        <v>1.288225</v>
      </c>
      <c r="BK39" s="10">
        <f t="shared" si="30"/>
        <v>1.446280991735537</v>
      </c>
      <c r="BL39" s="10">
        <f t="shared" si="30"/>
        <v>1.3148009015777609</v>
      </c>
      <c r="BM39" s="10">
        <f t="shared" si="30"/>
        <v>1.1952735468888733</v>
      </c>
      <c r="BN39" s="10">
        <f t="shared" si="30"/>
        <v>1.0866123153535212</v>
      </c>
      <c r="BO39" s="10">
        <f t="shared" si="30"/>
        <v>0.98782937759411016</v>
      </c>
      <c r="BP39" s="10">
        <f t="shared" si="30"/>
        <v>0.89802670690373643</v>
      </c>
      <c r="BQ39" s="10">
        <f t="shared" si="30"/>
        <v>0.81638791536703303</v>
      </c>
      <c r="BR39" s="10">
        <f t="shared" si="30"/>
        <v>0.7421708321518482</v>
      </c>
      <c r="BS39" s="10">
        <f t="shared" si="30"/>
        <v>0.67470075650168015</v>
      </c>
      <c r="BT39" s="10">
        <f>BT38/1.1</f>
        <v>0.61336432409243646</v>
      </c>
      <c r="BX39" s="25">
        <f ca="1">LOOKUP(BM12,AK2:AK198,AM2:AM207)</f>
        <v>1</v>
      </c>
      <c r="CA39" s="33"/>
      <c r="CB39" s="33"/>
      <c r="CD39" s="39">
        <v>12</v>
      </c>
      <c r="CE39" s="45" t="str">
        <f ca="1">LOOKUP(CB$54,CF$5:DP$5,CF39:DP39)</f>
        <v>G03 X-2.5 Y2.5 Z0.25 I-2.5 J0.</v>
      </c>
      <c r="CF39" s="45"/>
      <c r="CH39" s="44" t="str">
        <f>CONCATENATE(CD39,DR106,DS106,DT106)</f>
        <v>12 L IZ+102.5 FMAX</v>
      </c>
      <c r="CI39" s="44" t="str">
        <f>CG21</f>
        <v>G03 X-2.5 Y2.5 Z0.25 I-2.5 J0.</v>
      </c>
      <c r="CJ39" s="44" t="str">
        <f>CONCATENATE(CD39,EE106,EF106,EG106)</f>
        <v>12 L IZ-2.5 FMAX</v>
      </c>
      <c r="CK39" s="44" t="str">
        <f>CONCATENATE(ER39,ES39,ET39,EU39,EV39,EW39,EX39,EY39,EZ39,FA39,FB39,FC39)</f>
        <v>G03 X-2.393 Y2.393 Z0.25 I-2.393 J0.</v>
      </c>
      <c r="CL39" s="44" t="str">
        <f>CONCATENATE(CD39,ER106,ES106,ET106)</f>
        <v>12 L IZ-2.5 FMAX</v>
      </c>
      <c r="CM39" s="44" t="str">
        <f>FE39</f>
        <v>#2=#2+1</v>
      </c>
      <c r="CN39" s="44" t="str">
        <f>CONCATENATE(CD39,DR97,DS97,DT97)</f>
        <v>12 CC IX-2.5 IY+0</v>
      </c>
      <c r="CO39" s="44" t="str">
        <f ca="1">CI30</f>
        <v>G01 G41 X2.5 Y-2.5 F129</v>
      </c>
      <c r="CP39" s="44" t="str">
        <f>CONCATENATE(CD39,EE97,EF97,EG97)</f>
        <v>12 CC IX-2.323 IY+0</v>
      </c>
      <c r="CQ39" s="4" t="str">
        <f ca="1">CK30</f>
        <v>G01 G41 X2.393 Y-2.393 F126</v>
      </c>
      <c r="CR39" s="44" t="str">
        <f>CONCATENATE(CD39,ER97,ES97,ET97)</f>
        <v>12 CC IX-2.23 IY+0</v>
      </c>
      <c r="CS39" s="4" t="str">
        <f>CG24</f>
        <v>G01 G40 X-2.5 Y-2.5</v>
      </c>
      <c r="CT39" s="44" t="str">
        <f>CONCATENATE(CD39,FE118)</f>
        <v>12 FN 1: Q2 =+Q2 + +1</v>
      </c>
      <c r="CU39" s="44" t="str">
        <f>CI24</f>
        <v>G01 G40 X-2.323 Y-2.323</v>
      </c>
      <c r="CV39" s="44" t="str">
        <f>CT39</f>
        <v>12 FN 1: Q2 =+Q2 + +1</v>
      </c>
      <c r="CW39" s="44" t="str">
        <f>CK24</f>
        <v>G01 G40 X-2.23 Y-2.23</v>
      </c>
      <c r="CX39" s="127" t="str">
        <f>CT39</f>
        <v>12 FN 1: Q2 =+Q2 + +1</v>
      </c>
      <c r="CZ39" s="127" t="str">
        <f>CONCATENATE(CD39,DR88,FZ24,DT88)</f>
        <v>12 CP IPA+90 IZ+0.5 DR+</v>
      </c>
      <c r="DA39" s="44" t="str">
        <f ca="1">CY12</f>
        <v>G01 G41 X2.5 Y-2.5 F129</v>
      </c>
      <c r="DB39" s="127" t="str">
        <f>CZ39</f>
        <v>12 CP IPA+90 IZ+0.5 DR+</v>
      </c>
      <c r="DC39" s="44" t="str">
        <f ca="1">CK30</f>
        <v>G01 G41 X2.393 Y-2.393 F126</v>
      </c>
      <c r="DD39" s="127" t="str">
        <f>DB39</f>
        <v>12 CP IPA+90 IZ+0.5 DR+</v>
      </c>
      <c r="DF39" s="44" t="str">
        <f>DE21</f>
        <v>G03 X0. C0. Z2. I-5. J0.</v>
      </c>
      <c r="DG39" s="44" t="str">
        <f>CONCATENATE(ER36,ES36,ET36,". C",EV36,EW36,EX36,EY36,EZ36,FA36,FB36,FC36)</f>
        <v>G03 X0. C0. Z2. I-4.786 J0.</v>
      </c>
      <c r="DH39" s="44" t="str">
        <f>CM36</f>
        <v>G00 Z27.5</v>
      </c>
      <c r="DI39" s="44" t="str">
        <f>DF30</f>
        <v>G00 Z-2.5</v>
      </c>
      <c r="DJ39" s="44" t="str">
        <f>DG30</f>
        <v>G00 Z-2.5</v>
      </c>
      <c r="DK39" s="44" t="str">
        <f>DE24</f>
        <v>G03 X-2.5 C2.5 Z0.25 I-2.5 J0.</v>
      </c>
      <c r="DL39" s="44" t="str">
        <f>DF24</f>
        <v>G03 X-2.323 C2.323 Z0.25 I-2.323 J0.</v>
      </c>
      <c r="DM39" s="44" t="str">
        <f>DG24</f>
        <v>G03 X-2.23 C2.23 Z0.25 I-2.23 J0.</v>
      </c>
      <c r="DN39" s="44" t="str">
        <f>DE30</f>
        <v>G13.1</v>
      </c>
      <c r="DO39" s="44" t="str">
        <f>DF30</f>
        <v>G00 Z-2.5</v>
      </c>
      <c r="DP39" s="44" t="str">
        <f>DG30</f>
        <v>G00 Z-2.5</v>
      </c>
      <c r="EA39" s="18"/>
      <c r="ED39" s="46"/>
      <c r="EE39" s="18"/>
      <c r="EF39" s="18"/>
      <c r="EG39" s="18"/>
      <c r="EH39" s="18"/>
      <c r="EI39" s="18"/>
      <c r="EJ39" s="18"/>
      <c r="EK39" s="18"/>
      <c r="EL39" s="18"/>
      <c r="EM39" s="18"/>
      <c r="EN39" s="18"/>
      <c r="EO39" s="18"/>
      <c r="EP39" s="18"/>
      <c r="EQ39" s="49">
        <v>12</v>
      </c>
      <c r="ER39" s="18" t="s">
        <v>546</v>
      </c>
      <c r="ES39" s="18" t="s">
        <v>545</v>
      </c>
      <c r="ET39" s="18" t="str">
        <f>SUBSTITUTE(ET37,",",".")</f>
        <v>-2.393</v>
      </c>
      <c r="EU39" s="18" t="str">
        <f>IF(ET37=ET38,". Y"," Y")</f>
        <v xml:space="preserve"> Y</v>
      </c>
      <c r="EV39" s="18" t="str">
        <f>SUBSTITUTE(EV37,",",".")</f>
        <v>2.393</v>
      </c>
      <c r="EW39" s="18" t="str">
        <f>IF(EV37=EV38,". Z"," Z")</f>
        <v xml:space="preserve"> Z</v>
      </c>
      <c r="EX39" s="18" t="str">
        <f>SUBSTITUTE(EX37,",",".")</f>
        <v>0.25</v>
      </c>
      <c r="EY39" s="18" t="str">
        <f>IF(EX37=EX38,". I"," I")</f>
        <v xml:space="preserve"> I</v>
      </c>
      <c r="EZ39" s="18" t="str">
        <f>SUBSTITUTE(EZ37,",",".")</f>
        <v>-2.393</v>
      </c>
      <c r="FA39" s="18" t="str">
        <f>IF(EZ37=EZ38,". J"," J")</f>
        <v xml:space="preserve"> J</v>
      </c>
      <c r="FB39" s="18">
        <v>0</v>
      </c>
      <c r="FC39" s="25" t="s">
        <v>1022</v>
      </c>
      <c r="FD39" s="49">
        <v>12</v>
      </c>
      <c r="FE39" s="122" t="s">
        <v>836</v>
      </c>
    </row>
    <row r="40" spans="1:224" ht="16.05" customHeight="1">
      <c r="L40" t="s">
        <v>657</v>
      </c>
      <c r="M40" s="5" t="str">
        <f t="shared" si="8"/>
        <v>Korrózióálló acél, ausztenites</v>
      </c>
      <c r="N40" s="5" t="s">
        <v>1870</v>
      </c>
      <c r="O40" s="65" t="s">
        <v>1044</v>
      </c>
      <c r="P40" s="5" t="s">
        <v>816</v>
      </c>
      <c r="Q40" s="5" t="s">
        <v>1085</v>
      </c>
      <c r="R40" s="5" t="s">
        <v>594</v>
      </c>
      <c r="S40" s="5" t="s">
        <v>756</v>
      </c>
      <c r="T40" t="s">
        <v>1681</v>
      </c>
      <c r="U40" s="34" t="s">
        <v>369</v>
      </c>
      <c r="V40" s="5" t="s">
        <v>1265</v>
      </c>
      <c r="W40" s="5" t="s">
        <v>1743</v>
      </c>
      <c r="X40" s="5" t="s">
        <v>1221</v>
      </c>
      <c r="Y40" s="34" t="s">
        <v>1589</v>
      </c>
      <c r="Z40" s="34" t="s">
        <v>246</v>
      </c>
      <c r="AA40" s="5" t="s">
        <v>1302</v>
      </c>
      <c r="AB40" s="34" t="s">
        <v>682</v>
      </c>
      <c r="AC40" s="34" t="s">
        <v>2</v>
      </c>
      <c r="AD40" s="5" t="s">
        <v>694</v>
      </c>
      <c r="AE40" s="76" t="s">
        <v>1545</v>
      </c>
      <c r="AF40" s="90" t="s">
        <v>1594</v>
      </c>
      <c r="AG40" s="79" t="s">
        <v>482</v>
      </c>
      <c r="AH40" s="94" t="s">
        <v>194</v>
      </c>
      <c r="AI40" s="85" t="s">
        <v>163</v>
      </c>
      <c r="AK40" s="4">
        <v>39</v>
      </c>
      <c r="AL40" s="4">
        <v>5</v>
      </c>
      <c r="AO40" s="197" t="s">
        <v>2141</v>
      </c>
      <c r="AP40" s="198">
        <v>72.5</v>
      </c>
      <c r="AQ40">
        <v>4</v>
      </c>
      <c r="AR40">
        <v>3.6</v>
      </c>
      <c r="AS40">
        <v>3</v>
      </c>
      <c r="AU40">
        <v>12</v>
      </c>
      <c r="AV40">
        <v>51</v>
      </c>
      <c r="AW40">
        <v>4.4000000000000004</v>
      </c>
      <c r="AY40" s="38">
        <f t="shared" si="0"/>
        <v>39</v>
      </c>
      <c r="AZ40" s="25" t="b">
        <f t="shared" si="1"/>
        <v>0</v>
      </c>
      <c r="BA40" s="25" t="b">
        <f t="shared" si="2"/>
        <v>0</v>
      </c>
      <c r="BB40" s="25" t="b">
        <f t="shared" si="3"/>
        <v>0</v>
      </c>
      <c r="BC40" s="25" t="b">
        <f t="shared" si="4"/>
        <v>0</v>
      </c>
      <c r="BF40" s="128" t="s">
        <v>1819</v>
      </c>
      <c r="BG40" s="128"/>
      <c r="BI40" s="17">
        <f t="shared" si="31"/>
        <v>400</v>
      </c>
      <c r="BJ40" s="7">
        <f t="shared" si="32"/>
        <v>1.4621353749999999</v>
      </c>
      <c r="BK40" s="10">
        <f t="shared" si="30"/>
        <v>1.3148009015777609</v>
      </c>
      <c r="BL40" s="10">
        <f t="shared" si="30"/>
        <v>1.1952735468888733</v>
      </c>
      <c r="BM40" s="10">
        <f t="shared" si="30"/>
        <v>1.0866123153535212</v>
      </c>
      <c r="BN40" s="10">
        <f t="shared" si="30"/>
        <v>0.98782937759411016</v>
      </c>
      <c r="BO40" s="10">
        <f t="shared" si="30"/>
        <v>0.89802670690373643</v>
      </c>
      <c r="BP40" s="10">
        <f t="shared" si="30"/>
        <v>0.81638791536703303</v>
      </c>
      <c r="BQ40" s="10">
        <f t="shared" si="30"/>
        <v>0.7421708321518482</v>
      </c>
      <c r="BR40" s="10">
        <f t="shared" si="30"/>
        <v>0.67470075650168015</v>
      </c>
      <c r="BS40" s="10">
        <f t="shared" si="30"/>
        <v>0.61336432409243646</v>
      </c>
      <c r="BT40" s="10">
        <f>BT39/1.1</f>
        <v>0.557603930993124</v>
      </c>
      <c r="BX40" s="25" t="b">
        <f ca="1">ISNA(BX39)</f>
        <v>0</v>
      </c>
      <c r="CA40" s="33"/>
      <c r="CB40" s="33"/>
      <c r="CD40" s="39"/>
      <c r="CR40" s="44"/>
      <c r="EA40" s="18"/>
      <c r="ED40" s="46"/>
      <c r="EE40" s="18"/>
      <c r="EF40" s="18"/>
      <c r="EG40" s="18"/>
      <c r="EH40" s="18"/>
      <c r="EI40" s="18"/>
      <c r="EJ40" s="18"/>
      <c r="EK40" s="18"/>
      <c r="EL40" s="18"/>
      <c r="EM40" s="18"/>
      <c r="EN40" s="18"/>
      <c r="EO40" s="18"/>
      <c r="EP40" s="18"/>
      <c r="EQ40" s="49"/>
      <c r="ER40" s="18"/>
      <c r="ES40" s="18"/>
      <c r="ET40" s="18"/>
      <c r="EU40" s="18">
        <f>-BY69</f>
        <v>-2.3929999999999998</v>
      </c>
      <c r="EV40" s="18"/>
      <c r="EW40" s="18">
        <f>-BY69</f>
        <v>-2.3929999999999998</v>
      </c>
      <c r="EX40" s="18"/>
      <c r="EY40" s="18"/>
      <c r="EZ40" s="18"/>
      <c r="FA40" s="18"/>
      <c r="FB40" s="18"/>
      <c r="FC40" s="25"/>
      <c r="FD40" s="49"/>
      <c r="FL40" s="33">
        <f>ROUND(-DU7-DX13-(BX48*DX16)-DX19,3)</f>
        <v>78.5</v>
      </c>
      <c r="FO40"/>
      <c r="FP40"/>
      <c r="FQ40" s="33">
        <f>ROUND(-DX13-(BX48*DX16)-DX19,3)</f>
        <v>-26.5</v>
      </c>
      <c r="FR40"/>
    </row>
    <row r="41" spans="1:224" ht="16.05" customHeight="1">
      <c r="L41" t="s">
        <v>653</v>
      </c>
      <c r="M41" s="5" t="str">
        <f t="shared" si="8"/>
        <v>Korrózióálló acél, ferrites és ausztenites</v>
      </c>
      <c r="N41" s="5" t="s">
        <v>1871</v>
      </c>
      <c r="O41" s="65" t="s">
        <v>1045</v>
      </c>
      <c r="P41" s="5" t="s">
        <v>952</v>
      </c>
      <c r="Q41" s="5" t="s">
        <v>1117</v>
      </c>
      <c r="R41" s="5" t="s">
        <v>533</v>
      </c>
      <c r="S41" s="5" t="s">
        <v>729</v>
      </c>
      <c r="T41" t="s">
        <v>1682</v>
      </c>
      <c r="U41" s="34" t="s">
        <v>309</v>
      </c>
      <c r="V41" s="5" t="s">
        <v>1270</v>
      </c>
      <c r="W41" s="5" t="s">
        <v>1744</v>
      </c>
      <c r="X41" s="5" t="s">
        <v>1222</v>
      </c>
      <c r="Y41" s="34" t="s">
        <v>1557</v>
      </c>
      <c r="Z41" s="34" t="s">
        <v>229</v>
      </c>
      <c r="AA41" s="5" t="s">
        <v>1303</v>
      </c>
      <c r="AB41" s="34" t="s">
        <v>602</v>
      </c>
      <c r="AC41" s="34" t="s">
        <v>3</v>
      </c>
      <c r="AD41" s="5" t="s">
        <v>695</v>
      </c>
      <c r="AE41" s="76" t="s">
        <v>1546</v>
      </c>
      <c r="AF41" s="90" t="s">
        <v>1501</v>
      </c>
      <c r="AG41" s="79" t="s">
        <v>483</v>
      </c>
      <c r="AH41" s="94" t="s">
        <v>61</v>
      </c>
      <c r="AI41" s="85" t="s">
        <v>164</v>
      </c>
      <c r="AK41" s="4">
        <v>40</v>
      </c>
      <c r="AL41" s="4">
        <v>5</v>
      </c>
      <c r="AO41" s="197" t="s">
        <v>2142</v>
      </c>
      <c r="AP41" s="198">
        <v>67.3</v>
      </c>
      <c r="AQ41">
        <v>3</v>
      </c>
      <c r="AR41">
        <v>3</v>
      </c>
      <c r="AS41">
        <v>3</v>
      </c>
      <c r="AU41">
        <v>7.1</v>
      </c>
      <c r="AV41">
        <v>39</v>
      </c>
      <c r="AW41">
        <v>3.4</v>
      </c>
      <c r="AY41" s="38">
        <f t="shared" si="0"/>
        <v>40</v>
      </c>
      <c r="AZ41" s="25" t="b">
        <f t="shared" si="1"/>
        <v>0</v>
      </c>
      <c r="BA41" s="25" t="b">
        <f t="shared" si="2"/>
        <v>0</v>
      </c>
      <c r="BB41" s="25" t="b">
        <f t="shared" si="3"/>
        <v>0</v>
      </c>
      <c r="BC41" s="25" t="b">
        <f t="shared" si="4"/>
        <v>0</v>
      </c>
      <c r="BF41" s="128"/>
      <c r="BG41" s="128"/>
      <c r="BI41" s="17">
        <f t="shared" si="31"/>
        <v>500</v>
      </c>
      <c r="BJ41" s="7">
        <f t="shared" si="32"/>
        <v>1.659523650625</v>
      </c>
      <c r="BK41" s="10">
        <f t="shared" si="30"/>
        <v>1.1952735468888733</v>
      </c>
      <c r="BL41" s="10">
        <f t="shared" si="30"/>
        <v>1.0866123153535212</v>
      </c>
      <c r="BM41" s="10">
        <f t="shared" si="30"/>
        <v>0.98782937759411016</v>
      </c>
      <c r="BN41" s="10">
        <f t="shared" si="30"/>
        <v>0.89802670690373643</v>
      </c>
      <c r="BO41" s="10">
        <f t="shared" si="30"/>
        <v>0.81638791536703303</v>
      </c>
      <c r="BP41" s="10">
        <f t="shared" si="30"/>
        <v>0.7421708321518482</v>
      </c>
      <c r="BQ41" s="10">
        <f t="shared" si="30"/>
        <v>0.67470075650168015</v>
      </c>
      <c r="BR41" s="10">
        <f t="shared" si="30"/>
        <v>0.61336432409243646</v>
      </c>
      <c r="BS41" s="10">
        <f t="shared" si="30"/>
        <v>0.557603930993124</v>
      </c>
      <c r="BT41" s="10">
        <f t="shared" si="30"/>
        <v>0.50691266453920358</v>
      </c>
      <c r="BX41" s="43">
        <f ca="1">IF(BX40=FALSE,BX39,"")</f>
        <v>1</v>
      </c>
      <c r="CA41" s="33"/>
      <c r="CB41" s="33"/>
      <c r="CD41" s="39"/>
      <c r="CR41" s="44"/>
      <c r="EA41" s="18"/>
      <c r="ED41" s="46"/>
      <c r="EE41" s="18"/>
      <c r="EF41" s="18"/>
      <c r="EG41" s="18"/>
      <c r="EH41" s="18"/>
      <c r="EI41" s="18"/>
      <c r="EJ41" s="18"/>
      <c r="EK41" s="18"/>
      <c r="EL41" s="18"/>
      <c r="EM41" s="18"/>
      <c r="EN41" s="18"/>
      <c r="EO41" s="18"/>
      <c r="EP41" s="18"/>
      <c r="EU41" s="25">
        <f>INT(EU40)</f>
        <v>-3</v>
      </c>
      <c r="EW41" s="25">
        <f>INT(EW40)</f>
        <v>-3</v>
      </c>
      <c r="FC41" s="25"/>
      <c r="FL41" s="25">
        <f>INT(FL40)</f>
        <v>78</v>
      </c>
      <c r="FO41"/>
      <c r="FP41"/>
      <c r="FQ41" s="25">
        <f>INT(FQ40)</f>
        <v>-27</v>
      </c>
      <c r="FR41"/>
    </row>
    <row r="42" spans="1:224" ht="16.05" customHeight="1">
      <c r="L42" t="s">
        <v>1132</v>
      </c>
      <c r="M42" s="5" t="str">
        <f t="shared" si="8"/>
        <v>Titán, ötvözetlen, &lt; 700 N/mm2</v>
      </c>
      <c r="N42" s="5" t="s">
        <v>1872</v>
      </c>
      <c r="O42" s="65" t="s">
        <v>1046</v>
      </c>
      <c r="P42" s="5" t="s">
        <v>922</v>
      </c>
      <c r="Q42" s="5" t="s">
        <v>1088</v>
      </c>
      <c r="R42" s="5" t="s">
        <v>703</v>
      </c>
      <c r="S42" s="5" t="s">
        <v>730</v>
      </c>
      <c r="T42" t="s">
        <v>1683</v>
      </c>
      <c r="U42" s="34" t="s">
        <v>310</v>
      </c>
      <c r="V42" s="5" t="s">
        <v>1271</v>
      </c>
      <c r="W42" s="5" t="s">
        <v>1745</v>
      </c>
      <c r="X42" s="5" t="s">
        <v>1091</v>
      </c>
      <c r="Y42" s="34" t="s">
        <v>1558</v>
      </c>
      <c r="Z42" s="5" t="s">
        <v>230</v>
      </c>
      <c r="AA42" s="5" t="s">
        <v>1259</v>
      </c>
      <c r="AB42" s="34" t="s">
        <v>603</v>
      </c>
      <c r="AC42" s="34" t="s">
        <v>86</v>
      </c>
      <c r="AD42" s="5" t="s">
        <v>818</v>
      </c>
      <c r="AE42" s="76" t="s">
        <v>1547</v>
      </c>
      <c r="AF42" s="90" t="s">
        <v>1502</v>
      </c>
      <c r="AG42" s="79" t="s">
        <v>484</v>
      </c>
      <c r="AH42" s="94" t="s">
        <v>31</v>
      </c>
      <c r="AI42" s="85" t="s">
        <v>165</v>
      </c>
      <c r="AK42" s="4">
        <v>41</v>
      </c>
      <c r="AL42" s="4">
        <v>5</v>
      </c>
      <c r="AO42" s="197" t="s">
        <v>2143</v>
      </c>
      <c r="AP42" s="198">
        <v>67.3</v>
      </c>
      <c r="AQ42">
        <v>3</v>
      </c>
      <c r="AR42">
        <v>3</v>
      </c>
      <c r="AS42">
        <v>3</v>
      </c>
      <c r="AU42">
        <v>10.199999999999999</v>
      </c>
      <c r="AV42">
        <v>39</v>
      </c>
      <c r="AW42">
        <v>3.4</v>
      </c>
      <c r="AY42" s="38">
        <f t="shared" si="0"/>
        <v>41</v>
      </c>
      <c r="AZ42" s="25" t="b">
        <f t="shared" si="1"/>
        <v>0</v>
      </c>
      <c r="BA42" s="25" t="b">
        <f t="shared" si="2"/>
        <v>0</v>
      </c>
      <c r="BB42" s="25" t="b">
        <f t="shared" si="3"/>
        <v>0</v>
      </c>
      <c r="BC42" s="25" t="b">
        <f t="shared" si="4"/>
        <v>0</v>
      </c>
      <c r="BF42" s="128" t="s">
        <v>1820</v>
      </c>
      <c r="BG42" s="128"/>
      <c r="BI42" s="17">
        <f t="shared" si="31"/>
        <v>600</v>
      </c>
      <c r="BJ42" s="7">
        <f t="shared" si="32"/>
        <v>1.8835593434593749</v>
      </c>
      <c r="BK42" s="10">
        <f t="shared" si="30"/>
        <v>1.0866123153535212</v>
      </c>
      <c r="BL42" s="10">
        <f t="shared" si="30"/>
        <v>0.98782937759411016</v>
      </c>
      <c r="BM42" s="10">
        <f t="shared" si="30"/>
        <v>0.89802670690373643</v>
      </c>
      <c r="BN42" s="10">
        <f t="shared" si="30"/>
        <v>0.81638791536703303</v>
      </c>
      <c r="BO42" s="10">
        <f t="shared" si="30"/>
        <v>0.7421708321518482</v>
      </c>
      <c r="BP42" s="10">
        <f t="shared" si="30"/>
        <v>0.67470075650168015</v>
      </c>
      <c r="BQ42" s="10">
        <f t="shared" si="30"/>
        <v>0.61336432409243646</v>
      </c>
      <c r="BR42" s="10">
        <f t="shared" si="30"/>
        <v>0.557603930993124</v>
      </c>
      <c r="BS42" s="10">
        <f t="shared" si="30"/>
        <v>0.50691266453920358</v>
      </c>
      <c r="BT42" s="10">
        <f t="shared" si="30"/>
        <v>0.46082969503563959</v>
      </c>
      <c r="BW42" s="7" t="s">
        <v>839</v>
      </c>
      <c r="BX42" s="27">
        <f ca="1">IF(BS62=BT6,2,BX41)</f>
        <v>1</v>
      </c>
      <c r="CA42" s="33"/>
      <c r="CB42" s="33"/>
      <c r="CD42" s="39">
        <v>13</v>
      </c>
      <c r="CE42" s="45" t="str">
        <f ca="1">LOOKUP(CB$54,CF$5:DP$5,CF42:DP42)</f>
        <v>G01 G40 X-2.5 Y-2.5</v>
      </c>
      <c r="CF42" s="45"/>
      <c r="CI42" s="44" t="str">
        <f>CG24</f>
        <v>G01 G40 X-2.5 Y-2.5</v>
      </c>
      <c r="CJ42" s="44" t="str">
        <f ca="1">CONCATENATE(CD42,DR82,DS82,DT82,DU82,DV82,DW82)</f>
        <v>13 L IX+2.5 IY-2.5 RL F129</v>
      </c>
      <c r="CK42" s="44" t="str">
        <f>CONCATENATE(ER42,ES42,ET42,EU42,EV42,EW42,EX42)</f>
        <v>G01 G40 X-2.393 Y-2.393</v>
      </c>
      <c r="CL42" s="44" t="str">
        <f ca="1">CONCATENATE(CD42,ER109,ES109,ET109,EU109,EV109,EW109)</f>
        <v>13 L IX+2.393 IY-2.393 RL F126</v>
      </c>
      <c r="CM42" s="44" t="str">
        <f>FE42</f>
        <v>END1</v>
      </c>
      <c r="CN42" s="44" t="str">
        <f>CONCATENATE(CD42,DR100,DS100,DT100)</f>
        <v>13 CP IPA+90 IZ+0.25 DR+</v>
      </c>
      <c r="CO42" s="44" t="str">
        <f>CI33</f>
        <v>G03 X2.5 Y2.5 Z0.25 I0. J2.5</v>
      </c>
      <c r="CP42" s="44" t="str">
        <f>CONCATENATE(CD42,DR100,DS100,DT100)</f>
        <v>13 CP IPA+90 IZ+0.25 DR+</v>
      </c>
      <c r="CQ42" s="4" t="str">
        <f>CK33</f>
        <v>G03 X2.393 Y2.393 Z0.25 I0. J2.393</v>
      </c>
      <c r="CR42" s="44" t="str">
        <f>CONCATENATE(CD42,DR100,DS100,DT100)</f>
        <v>13 CP IPA+90 IZ+0.25 DR+</v>
      </c>
      <c r="CS42" s="4" t="str">
        <f>CONCATENATE(FJ42,FK42,FL42,FM42)</f>
        <v>G00 Z78.5</v>
      </c>
      <c r="CT42" s="44" t="str">
        <f>CONCATENATE(CD42,FE121)</f>
        <v>13 FN 12: IF +Q2 LT +Q1 GOTO LBL 101</v>
      </c>
      <c r="CU42" s="44" t="str">
        <f>CONCATENATE(FO42,FP42,FQ42,FR42)</f>
        <v>G00 Z-26.5</v>
      </c>
      <c r="CV42" s="44" t="str">
        <f>CT42</f>
        <v>13 FN 12: IF +Q2 LT +Q1 GOTO LBL 101</v>
      </c>
      <c r="CW42" s="44" t="str">
        <f>CU42</f>
        <v>G00 Z-26.5</v>
      </c>
      <c r="CX42" s="127" t="str">
        <f>CT42</f>
        <v>13 FN 12: IF +Q2 LT +Q1 GOTO LBL 101</v>
      </c>
      <c r="CZ42" s="127" t="str">
        <f>CONCATENATE(CD42,FT103,GB27,FT91,GD27)</f>
        <v>13 CC IX+0.016 IY+5.048</v>
      </c>
      <c r="DA42" s="44" t="str">
        <f>CY15</f>
        <v>G03 X2.5 Y2.5 Z0.25 I0. J2.5</v>
      </c>
      <c r="DB42" s="127" t="str">
        <f>CONCATENATE(CD42,FT103,GO27,FT91,GQ27)</f>
        <v>13 CC IX+0.016 IY+4.694</v>
      </c>
      <c r="DC42" s="44" t="str">
        <f>CK33</f>
        <v>G03 X2.393 Y2.393 Z0.25 I0. J2.393</v>
      </c>
      <c r="DD42" s="127" t="str">
        <f>CONCATENATE(CD42,FT103,HB27,FT91,HD27)</f>
        <v>13 CC IX+0.016 IY+4.508</v>
      </c>
      <c r="DF42" s="44" t="str">
        <f>DE24</f>
        <v>G03 X-2.5 C2.5 Z0.25 I-2.5 J0.</v>
      </c>
      <c r="DG42" s="44" t="str">
        <f>CONCATENATE(ER39,ES39,ET39,HK33,EV39,EW39,EX39,EY39,EZ39,FA39,FB39,FC39)</f>
        <v>G03 X-2.393 C2.393 Z0.25 I-2.393 J0.</v>
      </c>
      <c r="DH42" s="44" t="str">
        <f>CM39</f>
        <v>#2=#2+1</v>
      </c>
      <c r="DI42" s="44" t="str">
        <f ca="1">DF33</f>
        <v>G01 G41 X2.5 C-2.5 F129</v>
      </c>
      <c r="DJ42" s="44" t="str">
        <f ca="1">DG33</f>
        <v>G01 G41 X2.393 C-2.393 F126</v>
      </c>
      <c r="DK42" s="44" t="str">
        <f>DE27</f>
        <v>G01 G40 X-2.5 C-2.5</v>
      </c>
      <c r="DL42" s="44" t="str">
        <f>DF27</f>
        <v>G01 G40 X-2.323 C-2.323</v>
      </c>
      <c r="DM42" s="44" t="str">
        <f>DG27</f>
        <v>G01 G40 X-2.23 C-2.23</v>
      </c>
      <c r="DN42" s="44" t="str">
        <f>DE33</f>
        <v>G00 Z102.5</v>
      </c>
      <c r="DO42" s="44" t="str">
        <f ca="1">DN15</f>
        <v>G01 G41 X2.5 C-2.5 F129</v>
      </c>
      <c r="DP42" s="44" t="str">
        <f ca="1">DG33</f>
        <v>G01 G41 X2.393 C-2.393 F126</v>
      </c>
      <c r="EA42" s="18"/>
      <c r="ED42" s="46"/>
      <c r="EE42" s="18"/>
      <c r="EF42" s="18"/>
      <c r="EG42" s="18"/>
      <c r="EH42" s="18"/>
      <c r="EI42" s="18"/>
      <c r="EJ42" s="18"/>
      <c r="EK42" s="18"/>
      <c r="EL42" s="18"/>
      <c r="EM42" s="18"/>
      <c r="EN42" s="18"/>
      <c r="EO42" s="18"/>
      <c r="EP42" s="18"/>
      <c r="EQ42" s="49">
        <v>13</v>
      </c>
      <c r="ER42" s="18" t="s">
        <v>543</v>
      </c>
      <c r="ES42" s="18" t="s">
        <v>537</v>
      </c>
      <c r="ET42" s="18" t="s">
        <v>545</v>
      </c>
      <c r="EU42" s="18" t="str">
        <f>SUBSTITUTE(EU40,",",".")</f>
        <v>-2.393</v>
      </c>
      <c r="EV42" s="18" t="str">
        <f>IF(EU40=EU41,". Y"," Y")</f>
        <v xml:space="preserve"> Y</v>
      </c>
      <c r="EW42" s="18" t="str">
        <f>SUBSTITUTE(EW40,",",".")</f>
        <v>-2.393</v>
      </c>
      <c r="EX42" s="18" t="str">
        <f>IF(EW40=EW41,".","")</f>
        <v/>
      </c>
      <c r="EY42" s="18"/>
      <c r="EZ42" s="18"/>
      <c r="FA42" s="18"/>
      <c r="FB42" s="18"/>
      <c r="FC42" s="25"/>
      <c r="FD42" s="49">
        <v>13</v>
      </c>
      <c r="FE42" s="122" t="s">
        <v>817</v>
      </c>
      <c r="FI42" s="49">
        <v>13</v>
      </c>
      <c r="FJ42" s="18" t="s">
        <v>540</v>
      </c>
      <c r="FK42" s="18" t="s">
        <v>542</v>
      </c>
      <c r="FL42" s="11" t="str">
        <f>SUBSTITUTE(FL40,",",".")</f>
        <v>78.5</v>
      </c>
      <c r="FM42" s="18" t="str">
        <f>IF(FL40=FL41,".","")</f>
        <v/>
      </c>
      <c r="FN42" s="49">
        <v>13</v>
      </c>
      <c r="FO42" s="18" t="s">
        <v>540</v>
      </c>
      <c r="FP42" s="18" t="s">
        <v>542</v>
      </c>
      <c r="FQ42" s="11" t="str">
        <f>SUBSTITUTE(FQ40,",",".")</f>
        <v>-26.5</v>
      </c>
      <c r="FR42" s="18" t="str">
        <f>IF(FQ40=FQ41,".","")</f>
        <v/>
      </c>
    </row>
    <row r="43" spans="1:224" ht="16.05" customHeight="1">
      <c r="L43" t="s">
        <v>645</v>
      </c>
      <c r="M43" s="5" t="str">
        <f t="shared" si="8"/>
        <v>Titán, ötvözött, &lt; 900 N/mm2</v>
      </c>
      <c r="N43" s="5" t="s">
        <v>1873</v>
      </c>
      <c r="O43" s="65" t="s">
        <v>1003</v>
      </c>
      <c r="P43" s="5" t="s">
        <v>923</v>
      </c>
      <c r="Q43" s="5" t="s">
        <v>1139</v>
      </c>
      <c r="R43" s="5" t="s">
        <v>614</v>
      </c>
      <c r="S43" s="5" t="s">
        <v>705</v>
      </c>
      <c r="T43" t="s">
        <v>1684</v>
      </c>
      <c r="U43" s="34" t="s">
        <v>311</v>
      </c>
      <c r="V43" s="5" t="s">
        <v>1312</v>
      </c>
      <c r="W43" s="5" t="s">
        <v>1746</v>
      </c>
      <c r="X43" s="5" t="s">
        <v>1092</v>
      </c>
      <c r="Y43" s="34" t="s">
        <v>1559</v>
      </c>
      <c r="Z43" s="5" t="s">
        <v>231</v>
      </c>
      <c r="AA43" s="5" t="s">
        <v>1260</v>
      </c>
      <c r="AB43" s="34" t="s">
        <v>609</v>
      </c>
      <c r="AC43" s="34" t="s">
        <v>87</v>
      </c>
      <c r="AD43" s="5" t="s">
        <v>819</v>
      </c>
      <c r="AE43" s="76" t="s">
        <v>1548</v>
      </c>
      <c r="AF43" s="90" t="s">
        <v>1503</v>
      </c>
      <c r="AG43" s="79" t="s">
        <v>485</v>
      </c>
      <c r="AH43" s="94" t="s">
        <v>32</v>
      </c>
      <c r="AI43" s="85" t="s">
        <v>279</v>
      </c>
      <c r="AK43" s="4">
        <v>42</v>
      </c>
      <c r="AL43" s="4">
        <v>5</v>
      </c>
      <c r="AO43" s="197" t="s">
        <v>2144</v>
      </c>
      <c r="AP43" s="198">
        <v>67.3</v>
      </c>
      <c r="AQ43">
        <v>3</v>
      </c>
      <c r="AR43">
        <v>2.6</v>
      </c>
      <c r="AS43">
        <v>3</v>
      </c>
      <c r="AU43">
        <v>8.6999999999999993</v>
      </c>
      <c r="AV43">
        <v>39</v>
      </c>
      <c r="AW43">
        <v>2.9</v>
      </c>
      <c r="AY43" s="38">
        <f t="shared" si="0"/>
        <v>42</v>
      </c>
      <c r="AZ43" s="25" t="b">
        <f t="shared" si="1"/>
        <v>0</v>
      </c>
      <c r="BA43" s="25" t="b">
        <f t="shared" si="2"/>
        <v>0</v>
      </c>
      <c r="BB43" s="25" t="b">
        <f t="shared" si="3"/>
        <v>0</v>
      </c>
      <c r="BC43" s="25" t="b">
        <f t="shared" si="4"/>
        <v>0</v>
      </c>
      <c r="BF43" s="131" t="s">
        <v>1818</v>
      </c>
      <c r="BG43" s="128"/>
      <c r="BI43" s="17">
        <f t="shared" si="31"/>
        <v>700</v>
      </c>
      <c r="BJ43" s="7">
        <f t="shared" si="32"/>
        <v>2.1378398548263906</v>
      </c>
      <c r="BK43" s="10">
        <f t="shared" si="30"/>
        <v>0.98782937759411016</v>
      </c>
      <c r="BL43" s="10">
        <f t="shared" si="30"/>
        <v>0.89802670690373643</v>
      </c>
      <c r="BM43" s="10">
        <f t="shared" si="30"/>
        <v>0.81638791536703303</v>
      </c>
      <c r="BN43" s="10">
        <f t="shared" si="30"/>
        <v>0.7421708321518482</v>
      </c>
      <c r="BO43" s="10">
        <f t="shared" si="30"/>
        <v>0.67470075650168015</v>
      </c>
      <c r="BP43" s="10">
        <f t="shared" si="30"/>
        <v>0.61336432409243646</v>
      </c>
      <c r="BQ43" s="10">
        <f t="shared" si="30"/>
        <v>0.557603930993124</v>
      </c>
      <c r="BR43" s="10">
        <f t="shared" si="30"/>
        <v>0.50691266453920358</v>
      </c>
      <c r="BS43" s="10">
        <f t="shared" si="30"/>
        <v>0.46082969503563959</v>
      </c>
      <c r="BT43" s="10">
        <f t="shared" si="30"/>
        <v>0.41893608639603597</v>
      </c>
      <c r="CA43" s="33"/>
      <c r="CB43" s="33"/>
      <c r="CD43" s="39"/>
      <c r="CR43" s="44"/>
      <c r="EA43" s="18"/>
      <c r="ED43" s="46"/>
      <c r="EE43" s="18"/>
      <c r="EF43" s="18"/>
      <c r="EG43" s="18"/>
      <c r="EH43" s="18"/>
      <c r="EI43" s="18"/>
      <c r="EJ43" s="18"/>
      <c r="EK43" s="18"/>
      <c r="EL43" s="18"/>
      <c r="EM43" s="18"/>
      <c r="EN43" s="18"/>
      <c r="EO43" s="18"/>
      <c r="EP43" s="18"/>
      <c r="EQ43" s="49"/>
      <c r="ER43" s="18"/>
      <c r="ES43" s="18"/>
      <c r="ET43" s="11">
        <f>-EX31-EX34-EX37</f>
        <v>-2.5</v>
      </c>
      <c r="EU43" s="18"/>
      <c r="EV43" s="18"/>
      <c r="EW43" s="18"/>
      <c r="EX43" s="18"/>
      <c r="EY43" s="18"/>
      <c r="EZ43" s="18"/>
      <c r="FA43" s="18"/>
      <c r="FB43" s="18"/>
      <c r="FC43" s="25"/>
      <c r="FD43" s="49"/>
      <c r="FE43" s="122"/>
      <c r="FF43" s="122"/>
      <c r="FG43" s="124">
        <f>ROUND((C12+C13)-(BX9*BX7),3)</f>
        <v>75</v>
      </c>
      <c r="FH43" s="122"/>
      <c r="GV43" s="33">
        <f>-(2*BY69)</f>
        <v>-4.7859999999999996</v>
      </c>
      <c r="GX43" s="33">
        <f>ROUND(2*BY69+(TAN(1.783*PI()/180)*BT6/4),3)</f>
        <v>4.8019999999999996</v>
      </c>
      <c r="GZ43" s="33">
        <f>ROUND(BT6/4,3)</f>
        <v>0.5</v>
      </c>
      <c r="HB43" s="33">
        <f>-(2*BY69)</f>
        <v>-4.7859999999999996</v>
      </c>
      <c r="HD43" s="33">
        <f>ROUND(TAN(1.783*PI()/180)*BT6/4,3)</f>
        <v>1.6E-2</v>
      </c>
    </row>
    <row r="44" spans="1:224" ht="16.05" customHeight="1">
      <c r="L44" t="s">
        <v>807</v>
      </c>
      <c r="M44" s="5" t="str">
        <f t="shared" si="8"/>
        <v>Titán, ötvözött, &lt; 1250 N/mm2</v>
      </c>
      <c r="N44" s="5" t="s">
        <v>1874</v>
      </c>
      <c r="O44" s="65" t="s">
        <v>1004</v>
      </c>
      <c r="P44" s="5" t="s">
        <v>1055</v>
      </c>
      <c r="Q44" s="5" t="s">
        <v>1129</v>
      </c>
      <c r="R44" s="5" t="s">
        <v>691</v>
      </c>
      <c r="S44" s="5" t="s">
        <v>706</v>
      </c>
      <c r="T44" t="s">
        <v>1685</v>
      </c>
      <c r="U44" s="34" t="s">
        <v>312</v>
      </c>
      <c r="V44" s="5" t="s">
        <v>1313</v>
      </c>
      <c r="W44" s="5" t="s">
        <v>1747</v>
      </c>
      <c r="X44" s="5" t="s">
        <v>1345</v>
      </c>
      <c r="Y44" s="34" t="s">
        <v>1560</v>
      </c>
      <c r="Z44" s="5" t="s">
        <v>232</v>
      </c>
      <c r="AA44" s="5" t="s">
        <v>1261</v>
      </c>
      <c r="AB44" s="34" t="s">
        <v>610</v>
      </c>
      <c r="AC44" s="34" t="s">
        <v>38</v>
      </c>
      <c r="AD44" s="5" t="s">
        <v>798</v>
      </c>
      <c r="AE44" s="76" t="s">
        <v>1549</v>
      </c>
      <c r="AF44" s="90" t="s">
        <v>1504</v>
      </c>
      <c r="AG44" s="79" t="s">
        <v>315</v>
      </c>
      <c r="AH44" s="94" t="s">
        <v>33</v>
      </c>
      <c r="AI44" s="85" t="s">
        <v>280</v>
      </c>
      <c r="AK44" s="4">
        <v>43</v>
      </c>
      <c r="AL44" s="4">
        <v>5</v>
      </c>
      <c r="AO44" s="197" t="s">
        <v>2145</v>
      </c>
      <c r="AP44" s="198">
        <v>67.3</v>
      </c>
      <c r="AQ44">
        <v>3</v>
      </c>
      <c r="AR44">
        <v>2.6</v>
      </c>
      <c r="AS44">
        <v>3</v>
      </c>
      <c r="AU44">
        <v>6.1</v>
      </c>
      <c r="AV44">
        <v>39</v>
      </c>
      <c r="AW44">
        <v>2.9</v>
      </c>
      <c r="AY44" s="38">
        <f t="shared" si="0"/>
        <v>43</v>
      </c>
      <c r="AZ44" s="25" t="b">
        <f t="shared" si="1"/>
        <v>0</v>
      </c>
      <c r="BA44" s="25" t="b">
        <f t="shared" si="2"/>
        <v>0</v>
      </c>
      <c r="BB44" s="25" t="b">
        <f t="shared" si="3"/>
        <v>0</v>
      </c>
      <c r="BC44" s="25" t="b">
        <f t="shared" si="4"/>
        <v>0</v>
      </c>
      <c r="BF44" s="128" t="s">
        <v>1821</v>
      </c>
      <c r="BG44" s="128"/>
      <c r="BI44" s="17">
        <f t="shared" si="31"/>
        <v>800</v>
      </c>
      <c r="BJ44" s="7">
        <f t="shared" si="32"/>
        <v>2.4264482352279533</v>
      </c>
      <c r="BK44" s="10">
        <f t="shared" si="30"/>
        <v>0.89802670690373643</v>
      </c>
      <c r="BL44" s="10">
        <f t="shared" si="30"/>
        <v>0.81638791536703303</v>
      </c>
      <c r="BM44" s="10">
        <f t="shared" si="30"/>
        <v>0.7421708321518482</v>
      </c>
      <c r="BN44" s="10">
        <f t="shared" si="30"/>
        <v>0.67470075650168015</v>
      </c>
      <c r="BO44" s="10">
        <f t="shared" si="30"/>
        <v>0.61336432409243646</v>
      </c>
      <c r="BP44" s="10">
        <f t="shared" si="30"/>
        <v>0.557603930993124</v>
      </c>
      <c r="BQ44" s="10">
        <f t="shared" si="30"/>
        <v>0.50691266453920358</v>
      </c>
      <c r="BR44" s="10">
        <f t="shared" si="30"/>
        <v>0.46082969503563959</v>
      </c>
      <c r="BS44" s="10">
        <f t="shared" si="30"/>
        <v>0.41893608639603597</v>
      </c>
      <c r="BT44" s="10">
        <f t="shared" si="30"/>
        <v>0.38085098763275993</v>
      </c>
      <c r="CA44" s="33"/>
      <c r="CB44" s="33"/>
      <c r="CD44" s="39"/>
      <c r="CR44" s="44"/>
      <c r="EA44" s="18"/>
      <c r="ED44" s="46"/>
      <c r="EE44" s="18"/>
      <c r="EF44" s="18"/>
      <c r="EG44" s="18"/>
      <c r="EH44" s="18"/>
      <c r="EI44" s="18"/>
      <c r="EJ44" s="18"/>
      <c r="EK44" s="18"/>
      <c r="EL44" s="18"/>
      <c r="EM44" s="18"/>
      <c r="EN44" s="18"/>
      <c r="EO44" s="18"/>
      <c r="EP44" s="18"/>
      <c r="ET44" s="25">
        <f>INT(ET43)</f>
        <v>-3</v>
      </c>
      <c r="FC44" s="25"/>
      <c r="FG44" s="121">
        <f>INT(FG43)</f>
        <v>75</v>
      </c>
      <c r="GV44" s="25">
        <f>INT(GV43)</f>
        <v>-5</v>
      </c>
      <c r="GX44" s="25">
        <f>INT(GX43)</f>
        <v>4</v>
      </c>
      <c r="GZ44" s="25">
        <f>INT(GZ43)</f>
        <v>0</v>
      </c>
      <c r="HB44" s="25">
        <f>INT(HB43)</f>
        <v>-5</v>
      </c>
      <c r="HD44" s="25">
        <f>INT(HD43)</f>
        <v>0</v>
      </c>
    </row>
    <row r="45" spans="1:224" ht="16.05" customHeight="1">
      <c r="L45" t="s">
        <v>667</v>
      </c>
      <c r="M45" s="5" t="str">
        <f t="shared" si="8"/>
        <v>Nikkel, ötvözetlen, &lt; 500 N/mm2</v>
      </c>
      <c r="N45" s="5" t="s">
        <v>1875</v>
      </c>
      <c r="O45" s="65" t="s">
        <v>1005</v>
      </c>
      <c r="P45" s="5" t="s">
        <v>660</v>
      </c>
      <c r="Q45" s="5" t="s">
        <v>1118</v>
      </c>
      <c r="R45" s="5" t="s">
        <v>946</v>
      </c>
      <c r="S45" s="5" t="s">
        <v>733</v>
      </c>
      <c r="T45" t="s">
        <v>1686</v>
      </c>
      <c r="U45" s="34" t="s">
        <v>313</v>
      </c>
      <c r="V45" s="5" t="s">
        <v>1200</v>
      </c>
      <c r="W45" s="5" t="s">
        <v>1748</v>
      </c>
      <c r="X45" s="5" t="s">
        <v>1346</v>
      </c>
      <c r="Y45" s="34" t="s">
        <v>1634</v>
      </c>
      <c r="Z45" s="5" t="s">
        <v>233</v>
      </c>
      <c r="AA45" s="5" t="s">
        <v>1262</v>
      </c>
      <c r="AB45" s="34" t="s">
        <v>611</v>
      </c>
      <c r="AC45" s="34" t="s">
        <v>39</v>
      </c>
      <c r="AD45" s="5" t="s">
        <v>685</v>
      </c>
      <c r="AE45" s="76" t="s">
        <v>1550</v>
      </c>
      <c r="AF45" s="90" t="s">
        <v>1505</v>
      </c>
      <c r="AG45" s="79" t="s">
        <v>316</v>
      </c>
      <c r="AH45" s="94" t="s">
        <v>34</v>
      </c>
      <c r="AI45" s="85" t="s">
        <v>281</v>
      </c>
      <c r="AK45" s="4">
        <v>44</v>
      </c>
      <c r="AL45" s="4">
        <v>5</v>
      </c>
      <c r="AO45" s="197" t="s">
        <v>2146</v>
      </c>
      <c r="AP45" s="198">
        <v>67.3</v>
      </c>
      <c r="AQ45">
        <v>3</v>
      </c>
      <c r="AR45">
        <v>2.2999999999999998</v>
      </c>
      <c r="AS45">
        <v>3</v>
      </c>
      <c r="AU45">
        <v>7.8</v>
      </c>
      <c r="AV45">
        <v>39</v>
      </c>
      <c r="AW45">
        <v>2.9</v>
      </c>
      <c r="AY45" s="38">
        <f t="shared" si="0"/>
        <v>44</v>
      </c>
      <c r="AZ45" s="25" t="b">
        <f t="shared" si="1"/>
        <v>0</v>
      </c>
      <c r="BA45" s="25" t="b">
        <f t="shared" si="2"/>
        <v>0</v>
      </c>
      <c r="BB45" s="25" t="b">
        <f t="shared" si="3"/>
        <v>0</v>
      </c>
      <c r="BC45" s="25" t="b">
        <f t="shared" si="4"/>
        <v>0</v>
      </c>
      <c r="BF45" s="131" t="s">
        <v>1822</v>
      </c>
      <c r="BG45" s="128"/>
      <c r="BI45" s="17">
        <f t="shared" si="31"/>
        <v>900</v>
      </c>
      <c r="BJ45" s="7">
        <f t="shared" si="32"/>
        <v>2.7540187469837272</v>
      </c>
      <c r="BK45" s="10">
        <f t="shared" si="30"/>
        <v>0.81638791536703303</v>
      </c>
      <c r="BL45" s="10">
        <f t="shared" si="30"/>
        <v>0.7421708321518482</v>
      </c>
      <c r="BM45" s="10">
        <f t="shared" si="30"/>
        <v>0.67470075650168015</v>
      </c>
      <c r="BN45" s="10">
        <f t="shared" si="30"/>
        <v>0.61336432409243646</v>
      </c>
      <c r="BO45" s="10">
        <f t="shared" si="30"/>
        <v>0.557603930993124</v>
      </c>
      <c r="BP45" s="10">
        <f t="shared" si="30"/>
        <v>0.50691266453920358</v>
      </c>
      <c r="BQ45" s="10">
        <f t="shared" si="30"/>
        <v>0.46082969503563959</v>
      </c>
      <c r="BR45" s="10">
        <f t="shared" si="30"/>
        <v>0.41893608639603597</v>
      </c>
      <c r="BS45" s="10">
        <f t="shared" si="30"/>
        <v>0.38085098763275993</v>
      </c>
      <c r="BT45" s="10">
        <f t="shared" si="30"/>
        <v>0.34622817057523625</v>
      </c>
      <c r="CA45" s="33"/>
      <c r="CB45" s="33"/>
      <c r="CD45" s="39">
        <v>14</v>
      </c>
      <c r="CE45" s="45" t="str">
        <f ca="1">LOOKUP(CB$54,CF$5:DP$5,CF45:DP45)</f>
        <v>G00 Z102.5</v>
      </c>
      <c r="CF45" s="45"/>
      <c r="CI45" s="44" t="str">
        <f>CG27</f>
        <v>G00 Z102.5</v>
      </c>
      <c r="CJ45" s="44" t="str">
        <f>CONCATENATE(CD45,DR85,DS85)</f>
        <v>14 CC IX+0 IY+2.5</v>
      </c>
      <c r="CK45" s="44" t="str">
        <f>CONCATENATE(ER45,ES45,ET45,EU45)</f>
        <v>G00 Z-2.5</v>
      </c>
      <c r="CL45" s="44" t="str">
        <f>CONCATENATE(CD45,ER112,ES112)</f>
        <v>14 CC IX+0 IY+2.393</v>
      </c>
      <c r="CM45" s="44" t="str">
        <f>CONCATENATE(FE45,FF45,FG45,FH45)</f>
        <v>G00 Z75.</v>
      </c>
      <c r="CN45" s="44" t="str">
        <f>CONCATENATE(CD45,DR103,DS103,DT103,DU103,DV103)</f>
        <v>14 L IX-2.5 IY-2.5 R0</v>
      </c>
      <c r="CO45" s="44" t="str">
        <f>CI36</f>
        <v>G03 X0. Y0. Z2. I-5. J0.</v>
      </c>
      <c r="CP45" s="44" t="str">
        <f>CONCATENATE(CD45,EE103,EF103,EG103,EH103,EI103)</f>
        <v>14 L IX-2.323 IY-2.323 R0</v>
      </c>
      <c r="CQ45" s="4" t="str">
        <f>CK36</f>
        <v>G03 X0. Y0. Z2. I-4.786 J0.</v>
      </c>
      <c r="CR45" s="44" t="str">
        <f>CONCATENATE(CD45,ER103,ES103,ET103,EU103,EV103)</f>
        <v>14 L IX-2.23 IY-2.23 R0</v>
      </c>
      <c r="CT45" s="44" t="str">
        <f>CONCATENATE(CD45,DR97,DS97,DT97)</f>
        <v>14 CC IX-2.5 IY+0</v>
      </c>
      <c r="CU45" s="44" t="str">
        <f ca="1">CI30</f>
        <v>G01 G41 X2.5 Y-2.5 F129</v>
      </c>
      <c r="CV45" s="44" t="str">
        <f>CONCATENATE(CD45,EE97,EF97,EG97)</f>
        <v>14 CC IX-2.323 IY+0</v>
      </c>
      <c r="CW45" s="44" t="str">
        <f ca="1">CK30</f>
        <v>G01 G41 X2.393 Y-2.393 F126</v>
      </c>
      <c r="CX45" s="127" t="str">
        <f>CONCATENATE(CD45,ER97,ES97,ET97)</f>
        <v>14 CC IX-2.23 IY+0</v>
      </c>
      <c r="CZ45" s="127" t="str">
        <f>CONCATENATE(CD45,DR88,FZ27,DT88)</f>
        <v>14 CP IPA+90 IZ+0.5 DR+</v>
      </c>
      <c r="DA45" s="44" t="str">
        <f>CY18</f>
        <v>G03 X-5. Y5.016 Z0.5 I-5. J0.016</v>
      </c>
      <c r="DB45" s="127" t="str">
        <f>CZ45</f>
        <v>14 CP IPA+90 IZ+0.5 DR+</v>
      </c>
      <c r="DC45" s="44" t="str">
        <f>CONCATENATE(GT45,GU45,GV45,GW45,GX45,GY45,GZ45,HA45,HB45,HC45,HD45,HE45)</f>
        <v>G03 X-4.786 Y4.802 Z0.5 I-4.786 J0.016</v>
      </c>
      <c r="DD45" s="127" t="str">
        <f>DB45</f>
        <v>14 CP IPA+90 IZ+0.5 DR+</v>
      </c>
      <c r="DF45" s="44" t="str">
        <f>DE27</f>
        <v>G01 G40 X-2.5 C-2.5</v>
      </c>
      <c r="DG45" s="44" t="str">
        <f>CONCATENATE(ER42,ES42,ET42,EU42,HK33,EW42,EX42)</f>
        <v>G01 G40 X-2.393 C-2.393</v>
      </c>
      <c r="DH45" s="44" t="str">
        <f>CM42</f>
        <v>END1</v>
      </c>
      <c r="DI45" s="44" t="str">
        <f>DF36</f>
        <v>G03 X2.5 C2.5 Z0.25 I0. J2.5</v>
      </c>
      <c r="DJ45" s="44" t="str">
        <f>DG36</f>
        <v>G03 X2.393 C2.393 Z0.25 I0. J2.393</v>
      </c>
      <c r="DK45" s="44" t="str">
        <f>DE30</f>
        <v>G13.1</v>
      </c>
      <c r="DL45" s="44" t="str">
        <f>CU42</f>
        <v>G00 Z-26.5</v>
      </c>
      <c r="DM45" s="44" t="str">
        <f>DL45</f>
        <v>G00 Z-26.5</v>
      </c>
      <c r="DO45" s="44" t="str">
        <f>DN18</f>
        <v>G03 X2.5 C2.5 Z0.25 I0. J2.5</v>
      </c>
      <c r="DP45" s="44" t="str">
        <f>DG36</f>
        <v>G03 X2.393 C2.393 Z0.25 I0. J2.393</v>
      </c>
      <c r="EA45" s="18"/>
      <c r="ED45" s="46"/>
      <c r="EE45" s="18"/>
      <c r="EF45" s="18"/>
      <c r="EG45" s="18"/>
      <c r="EH45" s="18"/>
      <c r="EI45" s="18"/>
      <c r="EJ45" s="18"/>
      <c r="EK45" s="18"/>
      <c r="EL45" s="18"/>
      <c r="EM45" s="18"/>
      <c r="EN45" s="18"/>
      <c r="EO45" s="18"/>
      <c r="EP45" s="18"/>
      <c r="EQ45" s="49">
        <v>14</v>
      </c>
      <c r="ER45" s="18" t="s">
        <v>540</v>
      </c>
      <c r="ES45" s="18" t="s">
        <v>542</v>
      </c>
      <c r="ET45" s="18" t="str">
        <f>SUBSTITUTE(ET43,",",".")</f>
        <v>-2.5</v>
      </c>
      <c r="EU45" s="18" t="str">
        <f>IF(ET43=ET44,".","")</f>
        <v/>
      </c>
      <c r="EV45" s="18"/>
      <c r="EW45" s="18"/>
      <c r="EX45" s="18"/>
      <c r="EY45" s="18"/>
      <c r="EZ45" s="18"/>
      <c r="FA45" s="18"/>
      <c r="FB45" s="18"/>
      <c r="FC45" s="25"/>
      <c r="FD45" s="49">
        <v>14</v>
      </c>
      <c r="FE45" s="122" t="s">
        <v>540</v>
      </c>
      <c r="FF45" s="122" t="s">
        <v>542</v>
      </c>
      <c r="FG45" s="122" t="str">
        <f>SUBSTITUTE(FG43,",",".")</f>
        <v>75</v>
      </c>
      <c r="FH45" s="122" t="str">
        <f>IF(FG43=FG44,".","")</f>
        <v>.</v>
      </c>
      <c r="GS45" s="49">
        <v>14</v>
      </c>
      <c r="GT45" s="33" t="s">
        <v>546</v>
      </c>
      <c r="GU45" s="33" t="s">
        <v>545</v>
      </c>
      <c r="GV45" s="18" t="str">
        <f>SUBSTITUTE(GV43,",",".")</f>
        <v>-4.786</v>
      </c>
      <c r="GW45" s="18" t="str">
        <f>IF(GV43=GV44,". Y"," Y")</f>
        <v xml:space="preserve"> Y</v>
      </c>
      <c r="GX45" s="18" t="str">
        <f>SUBSTITUTE(GX43,",",".")</f>
        <v>4.802</v>
      </c>
      <c r="GY45" s="18" t="str">
        <f>IF(GX43=GX44,". Z"," Z")</f>
        <v xml:space="preserve"> Z</v>
      </c>
      <c r="GZ45" s="18" t="str">
        <f>SUBSTITUTE(GZ43,",",".")</f>
        <v>0.5</v>
      </c>
      <c r="HA45" s="18" t="str">
        <f>IF(GZ43=GZ44,". I"," I")</f>
        <v xml:space="preserve"> I</v>
      </c>
      <c r="HB45" s="18" t="str">
        <f>SUBSTITUTE(HB43,",",".")</f>
        <v>-4.786</v>
      </c>
      <c r="HC45" s="18" t="str">
        <f>IF(HB43=HB44,". J"," J")</f>
        <v xml:space="preserve"> J</v>
      </c>
      <c r="HD45" s="18" t="str">
        <f>SUBSTITUTE(HD43,",",".")</f>
        <v>0.016</v>
      </c>
      <c r="HE45" s="18" t="str">
        <f>IF(HD43=HD44,".","")</f>
        <v/>
      </c>
      <c r="HP45" s="49"/>
    </row>
    <row r="46" spans="1:224" ht="16.05" customHeight="1">
      <c r="L46" s="90" t="s">
        <v>1473</v>
      </c>
      <c r="M46" s="5" t="str">
        <f t="shared" si="8"/>
        <v>Nikkel, ötvözött, &lt; 900 N/mm2</v>
      </c>
      <c r="N46" s="5" t="s">
        <v>1876</v>
      </c>
      <c r="O46" s="65" t="s">
        <v>1006</v>
      </c>
      <c r="P46" s="5" t="s">
        <v>800</v>
      </c>
      <c r="Q46" s="5" t="s">
        <v>1119</v>
      </c>
      <c r="R46" s="5" t="s">
        <v>988</v>
      </c>
      <c r="S46" s="5" t="s">
        <v>734</v>
      </c>
      <c r="T46" t="s">
        <v>1687</v>
      </c>
      <c r="U46" s="34" t="s">
        <v>314</v>
      </c>
      <c r="V46" s="5" t="s">
        <v>1201</v>
      </c>
      <c r="W46" s="5" t="s">
        <v>1749</v>
      </c>
      <c r="X46" s="5" t="s">
        <v>1347</v>
      </c>
      <c r="Y46" s="34" t="s">
        <v>1635</v>
      </c>
      <c r="Z46" s="5" t="s">
        <v>234</v>
      </c>
      <c r="AA46" s="5" t="s">
        <v>1263</v>
      </c>
      <c r="AB46" s="34" t="s">
        <v>612</v>
      </c>
      <c r="AC46" s="34" t="s">
        <v>40</v>
      </c>
      <c r="AD46" s="5" t="s">
        <v>793</v>
      </c>
      <c r="AE46" s="76" t="s">
        <v>1551</v>
      </c>
      <c r="AF46" s="90" t="s">
        <v>1506</v>
      </c>
      <c r="AG46" s="79" t="s">
        <v>317</v>
      </c>
      <c r="AH46" s="94" t="s">
        <v>35</v>
      </c>
      <c r="AI46" s="85" t="s">
        <v>282</v>
      </c>
      <c r="AK46" s="4">
        <v>45</v>
      </c>
      <c r="AL46" s="4">
        <v>5</v>
      </c>
      <c r="AO46" s="197" t="s">
        <v>2147</v>
      </c>
      <c r="AP46" s="198">
        <v>67.3</v>
      </c>
      <c r="AQ46">
        <v>3</v>
      </c>
      <c r="AR46">
        <v>2.2999999999999998</v>
      </c>
      <c r="AS46">
        <v>3</v>
      </c>
      <c r="AU46">
        <v>5.4</v>
      </c>
      <c r="AV46">
        <v>39</v>
      </c>
      <c r="AW46">
        <v>2.9</v>
      </c>
      <c r="AY46" s="38">
        <f t="shared" si="0"/>
        <v>45</v>
      </c>
      <c r="AZ46" s="25" t="b">
        <f t="shared" si="1"/>
        <v>0</v>
      </c>
      <c r="BA46" s="25" t="b">
        <f t="shared" si="2"/>
        <v>0</v>
      </c>
      <c r="BB46" s="25" t="b">
        <f t="shared" si="3"/>
        <v>0</v>
      </c>
      <c r="BC46" s="25" t="b">
        <f t="shared" si="4"/>
        <v>0</v>
      </c>
      <c r="BF46" s="128"/>
      <c r="BG46" s="128"/>
      <c r="BI46" s="17">
        <f t="shared" si="31"/>
        <v>1000</v>
      </c>
      <c r="BJ46" s="7">
        <f t="shared" si="32"/>
        <v>3.1258112778265303</v>
      </c>
      <c r="BK46" s="10">
        <f t="shared" si="30"/>
        <v>0.7421708321518482</v>
      </c>
      <c r="BL46" s="10">
        <f t="shared" si="30"/>
        <v>0.67470075650168015</v>
      </c>
      <c r="BM46" s="10">
        <f t="shared" si="30"/>
        <v>0.61336432409243646</v>
      </c>
      <c r="BN46" s="10">
        <f t="shared" si="30"/>
        <v>0.557603930993124</v>
      </c>
      <c r="BO46" s="10">
        <f t="shared" si="30"/>
        <v>0.50691266453920358</v>
      </c>
      <c r="BP46" s="10">
        <f t="shared" si="30"/>
        <v>0.46082969503563959</v>
      </c>
      <c r="BQ46" s="10">
        <f t="shared" si="30"/>
        <v>0.41893608639603597</v>
      </c>
      <c r="BR46" s="10">
        <f t="shared" si="30"/>
        <v>0.38085098763275993</v>
      </c>
      <c r="BS46" s="10">
        <f t="shared" si="30"/>
        <v>0.34622817057523625</v>
      </c>
      <c r="BT46" s="10">
        <f t="shared" si="30"/>
        <v>0.31475288234112386</v>
      </c>
      <c r="CA46" s="33"/>
      <c r="CB46" s="33"/>
      <c r="CD46" s="39"/>
      <c r="CR46" s="44"/>
      <c r="EA46" s="18"/>
      <c r="ED46" s="46"/>
      <c r="EE46" s="18"/>
      <c r="EF46" s="18"/>
      <c r="EG46" s="18"/>
      <c r="EH46" s="18"/>
      <c r="EI46" s="18"/>
      <c r="EJ46" s="18"/>
      <c r="EK46" s="18"/>
      <c r="EL46" s="18"/>
      <c r="EM46" s="18"/>
      <c r="EN46" s="18"/>
      <c r="EO46" s="18"/>
      <c r="EP46" s="18"/>
      <c r="EQ46" s="49"/>
      <c r="ER46" s="18"/>
      <c r="ES46" s="18"/>
      <c r="ET46" s="18"/>
      <c r="EU46" s="18"/>
      <c r="EV46" s="18"/>
      <c r="EW46" s="18"/>
      <c r="EX46" s="18"/>
      <c r="EY46" s="18"/>
      <c r="EZ46" s="18"/>
      <c r="FA46" s="18"/>
      <c r="FB46" s="18"/>
      <c r="FC46" s="18"/>
      <c r="FD46" s="49"/>
      <c r="GV46" s="33">
        <f>-(GX43+HD43)</f>
        <v>-4.8179999999999996</v>
      </c>
      <c r="GX46" s="33">
        <f>-GX43</f>
        <v>-4.8019999999999996</v>
      </c>
      <c r="GZ46" s="33">
        <f>GZ43</f>
        <v>0.5</v>
      </c>
      <c r="HB46" s="33">
        <f>-HD43</f>
        <v>-1.6E-2</v>
      </c>
      <c r="HD46" s="33">
        <f>GX46</f>
        <v>-4.8019999999999996</v>
      </c>
    </row>
    <row r="47" spans="1:224" ht="16.05" customHeight="1">
      <c r="L47" t="s">
        <v>525</v>
      </c>
      <c r="M47" s="5" t="str">
        <f t="shared" si="8"/>
        <v>Nikkel, ötvözött, &lt; 1250 N/mm2</v>
      </c>
      <c r="N47" s="5" t="s">
        <v>1877</v>
      </c>
      <c r="O47" s="65" t="s">
        <v>1241</v>
      </c>
      <c r="P47" s="5" t="s">
        <v>554</v>
      </c>
      <c r="Q47" s="5" t="s">
        <v>1065</v>
      </c>
      <c r="R47" s="5" t="s">
        <v>689</v>
      </c>
      <c r="S47" s="5" t="s">
        <v>707</v>
      </c>
      <c r="T47" t="s">
        <v>1688</v>
      </c>
      <c r="U47" s="34" t="s">
        <v>322</v>
      </c>
      <c r="V47" s="5" t="s">
        <v>1202</v>
      </c>
      <c r="W47" s="5" t="s">
        <v>1750</v>
      </c>
      <c r="X47" s="5" t="s">
        <v>1348</v>
      </c>
      <c r="Y47" s="34" t="s">
        <v>1636</v>
      </c>
      <c r="Z47" s="5" t="s">
        <v>235</v>
      </c>
      <c r="AA47" s="5" t="s">
        <v>1304</v>
      </c>
      <c r="AB47" s="34" t="s">
        <v>592</v>
      </c>
      <c r="AC47" s="34" t="s">
        <v>41</v>
      </c>
      <c r="AD47" s="5" t="s">
        <v>962</v>
      </c>
      <c r="AE47" s="76" t="s">
        <v>1552</v>
      </c>
      <c r="AF47" s="90" t="s">
        <v>1598</v>
      </c>
      <c r="AG47" s="79" t="s">
        <v>318</v>
      </c>
      <c r="AH47" s="94" t="s">
        <v>36</v>
      </c>
      <c r="AI47" s="85" t="s">
        <v>283</v>
      </c>
      <c r="AK47" s="4">
        <v>46</v>
      </c>
      <c r="AL47" s="4">
        <v>5</v>
      </c>
      <c r="AO47" s="197" t="s">
        <v>2148</v>
      </c>
      <c r="AP47" s="198">
        <v>67.3</v>
      </c>
      <c r="AQ47">
        <v>3</v>
      </c>
      <c r="AR47">
        <v>2.1</v>
      </c>
      <c r="AS47">
        <v>3</v>
      </c>
      <c r="AU47">
        <v>7.1</v>
      </c>
      <c r="AV47">
        <v>39</v>
      </c>
      <c r="AW47">
        <v>2.4</v>
      </c>
      <c r="AY47" s="38">
        <f t="shared" si="0"/>
        <v>46</v>
      </c>
      <c r="AZ47" s="25" t="b">
        <f t="shared" si="1"/>
        <v>0</v>
      </c>
      <c r="BA47" s="25" t="b">
        <f t="shared" si="2"/>
        <v>0</v>
      </c>
      <c r="BB47" s="25" t="b">
        <f t="shared" si="3"/>
        <v>0</v>
      </c>
      <c r="BC47" s="25" t="b">
        <f t="shared" si="4"/>
        <v>0</v>
      </c>
      <c r="BF47" s="128" t="s">
        <v>1830</v>
      </c>
      <c r="BG47" s="128"/>
      <c r="BI47" s="17">
        <f t="shared" si="31"/>
        <v>1100</v>
      </c>
      <c r="BJ47" s="7">
        <f t="shared" si="32"/>
        <v>3.547795800333112</v>
      </c>
      <c r="BK47" s="10">
        <f t="shared" si="30"/>
        <v>0.67470075650168015</v>
      </c>
      <c r="BL47" s="10">
        <f t="shared" si="30"/>
        <v>0.61336432409243646</v>
      </c>
      <c r="BM47" s="10">
        <f t="shared" si="30"/>
        <v>0.557603930993124</v>
      </c>
      <c r="BN47" s="10">
        <f t="shared" si="30"/>
        <v>0.50691266453920358</v>
      </c>
      <c r="BO47" s="10">
        <f t="shared" si="30"/>
        <v>0.46082969503563959</v>
      </c>
      <c r="BP47" s="10">
        <f t="shared" si="30"/>
        <v>0.41893608639603597</v>
      </c>
      <c r="BQ47" s="10">
        <f t="shared" si="30"/>
        <v>0.38085098763275993</v>
      </c>
      <c r="BR47" s="10">
        <f t="shared" si="30"/>
        <v>0.34622817057523625</v>
      </c>
      <c r="BS47" s="10">
        <f t="shared" si="30"/>
        <v>0.31475288234112386</v>
      </c>
      <c r="BT47" s="10">
        <f t="shared" si="30"/>
        <v>0.28613898394647619</v>
      </c>
      <c r="BW47" s="7"/>
      <c r="BX47" s="25">
        <f>C12/BT6-0.001</f>
        <v>12.499000000000001</v>
      </c>
      <c r="CA47" s="33"/>
      <c r="CB47" s="33"/>
      <c r="CD47" s="39"/>
      <c r="CR47" s="44"/>
      <c r="EA47" s="18"/>
      <c r="EE47" s="18"/>
      <c r="EF47" s="18"/>
      <c r="EG47" s="18"/>
      <c r="EH47" s="18"/>
      <c r="EI47" s="18"/>
      <c r="EJ47" s="18"/>
      <c r="EK47" s="18"/>
      <c r="EL47" s="18"/>
      <c r="EM47" s="18"/>
      <c r="EN47" s="18"/>
      <c r="EO47" s="18"/>
      <c r="EP47" s="18"/>
      <c r="ER47" s="18"/>
      <c r="ES47" s="18"/>
      <c r="ET47" s="18"/>
      <c r="EU47" s="18"/>
      <c r="EV47" s="18"/>
      <c r="EW47" s="18"/>
      <c r="EX47" s="18"/>
      <c r="EY47" s="18"/>
      <c r="EZ47" s="18"/>
      <c r="FA47" s="18"/>
      <c r="FB47" s="18"/>
      <c r="FC47" s="18"/>
      <c r="GV47" s="25">
        <f>INT(GV46)</f>
        <v>-5</v>
      </c>
      <c r="GX47" s="25">
        <f>INT(GX46)</f>
        <v>-5</v>
      </c>
      <c r="GZ47" s="25">
        <f>INT(GZ46)</f>
        <v>0</v>
      </c>
      <c r="HB47" s="25">
        <f>INT(HB46)</f>
        <v>-1</v>
      </c>
      <c r="HD47" s="25">
        <f>INT(HD46)</f>
        <v>-5</v>
      </c>
    </row>
    <row r="48" spans="1:224" ht="16.05" customHeight="1">
      <c r="L48" s="103" t="s">
        <v>148</v>
      </c>
      <c r="M48" s="5" t="str">
        <f t="shared" si="8"/>
        <v>Réz, ötvözetlen, &lt; 350 N/mm2</v>
      </c>
      <c r="N48" s="34" t="s">
        <v>1878</v>
      </c>
      <c r="O48" s="65" t="s">
        <v>1171</v>
      </c>
      <c r="P48" s="5" t="s">
        <v>744</v>
      </c>
      <c r="Q48" s="5" t="s">
        <v>1066</v>
      </c>
      <c r="R48" s="5" t="s">
        <v>690</v>
      </c>
      <c r="S48" s="5" t="s">
        <v>858</v>
      </c>
      <c r="T48" t="s">
        <v>1689</v>
      </c>
      <c r="U48" s="34" t="s">
        <v>425</v>
      </c>
      <c r="V48" s="5" t="s">
        <v>1266</v>
      </c>
      <c r="W48" s="5" t="s">
        <v>1751</v>
      </c>
      <c r="X48" s="5" t="s">
        <v>1349</v>
      </c>
      <c r="Y48" s="34" t="s">
        <v>1637</v>
      </c>
      <c r="Z48" s="5" t="s">
        <v>236</v>
      </c>
      <c r="AA48" s="5" t="s">
        <v>1305</v>
      </c>
      <c r="AB48" s="34" t="s">
        <v>593</v>
      </c>
      <c r="AC48" s="34" t="s">
        <v>42</v>
      </c>
      <c r="AD48" s="5" t="s">
        <v>715</v>
      </c>
      <c r="AE48" s="76" t="s">
        <v>1553</v>
      </c>
      <c r="AF48" s="90" t="s">
        <v>1586</v>
      </c>
      <c r="AG48" s="79" t="s">
        <v>373</v>
      </c>
      <c r="AH48" s="94" t="s">
        <v>64</v>
      </c>
      <c r="AI48" s="85" t="s">
        <v>284</v>
      </c>
      <c r="AK48" s="4">
        <v>47</v>
      </c>
      <c r="AL48" s="4">
        <v>5</v>
      </c>
      <c r="AO48" s="197" t="s">
        <v>2149</v>
      </c>
      <c r="AP48" s="198">
        <v>67.3</v>
      </c>
      <c r="AQ48">
        <v>3</v>
      </c>
      <c r="AR48">
        <v>2.1</v>
      </c>
      <c r="AS48">
        <v>3</v>
      </c>
      <c r="AU48">
        <v>4.9000000000000004</v>
      </c>
      <c r="AV48">
        <v>39</v>
      </c>
      <c r="AW48">
        <v>2.4</v>
      </c>
      <c r="AY48" s="38">
        <f t="shared" si="0"/>
        <v>47</v>
      </c>
      <c r="AZ48" s="25" t="b">
        <f t="shared" si="1"/>
        <v>0</v>
      </c>
      <c r="BA48" s="25" t="b">
        <f t="shared" si="2"/>
        <v>0</v>
      </c>
      <c r="BB48" s="25" t="b">
        <f t="shared" si="3"/>
        <v>0</v>
      </c>
      <c r="BC48" s="25" t="b">
        <f t="shared" si="4"/>
        <v>0</v>
      </c>
      <c r="BF48" s="128" t="s">
        <v>1831</v>
      </c>
      <c r="BG48" s="128"/>
      <c r="BI48" s="17">
        <f t="shared" si="31"/>
        <v>1200</v>
      </c>
      <c r="BJ48" s="7">
        <f t="shared" si="32"/>
        <v>4.0267482333780826</v>
      </c>
      <c r="BK48" s="10">
        <f t="shared" si="30"/>
        <v>0.61336432409243646</v>
      </c>
      <c r="BL48" s="10">
        <f t="shared" si="30"/>
        <v>0.557603930993124</v>
      </c>
      <c r="BM48" s="10">
        <f t="shared" si="30"/>
        <v>0.50691266453920358</v>
      </c>
      <c r="BN48" s="10">
        <f t="shared" si="30"/>
        <v>0.46082969503563959</v>
      </c>
      <c r="BO48" s="10">
        <f t="shared" si="30"/>
        <v>0.41893608639603597</v>
      </c>
      <c r="BP48" s="10">
        <f t="shared" si="30"/>
        <v>0.38085098763275993</v>
      </c>
      <c r="BQ48" s="10">
        <f t="shared" si="30"/>
        <v>0.34622817057523625</v>
      </c>
      <c r="BR48" s="10">
        <f t="shared" si="30"/>
        <v>0.31475288234112386</v>
      </c>
      <c r="BS48" s="10">
        <f t="shared" si="30"/>
        <v>0.28613898394647619</v>
      </c>
      <c r="BT48" s="10">
        <f t="shared" si="30"/>
        <v>0.26012634904225107</v>
      </c>
      <c r="BW48" s="7" t="s">
        <v>535</v>
      </c>
      <c r="BX48" s="50">
        <f>INT(BX47)+1</f>
        <v>13</v>
      </c>
      <c r="CA48" s="33"/>
      <c r="CB48" s="33"/>
      <c r="CD48" s="39">
        <v>15</v>
      </c>
      <c r="CE48" s="45">
        <f ca="1">LOOKUP(CB$54,CF$5:DP$5,CF48:DP48)</f>
        <v>0</v>
      </c>
      <c r="CF48" s="45"/>
      <c r="CJ48" s="44" t="str">
        <f>CONCATENATE(CD48,DR88,DS88,DT88)</f>
        <v>15 CP IPA+90 IZ+0.25 DR+</v>
      </c>
      <c r="CK48" s="44" t="str">
        <f ca="1">CG12</f>
        <v>G01 G41 X2.5 Y-2.5 F129</v>
      </c>
      <c r="CL48" s="44" t="str">
        <f>CJ48</f>
        <v>15 CP IPA+90 IZ+0.25 DR+</v>
      </c>
      <c r="CN48" s="44" t="str">
        <f>CONCATENATE(CD48,DR106,FF115,DT106)</f>
        <v>15 L IZ+27.5 FMAX</v>
      </c>
      <c r="CO48" s="44" t="str">
        <f>CI39</f>
        <v>G03 X-2.5 Y2.5 Z0.25 I-2.5 J0.</v>
      </c>
      <c r="CP48" s="44" t="str">
        <f>CONCATENATE(CD48,EE106,EF106,EG106)</f>
        <v>15 L IZ-2.5 FMAX</v>
      </c>
      <c r="CQ48" s="4" t="str">
        <f>CK39</f>
        <v>G03 X-2.393 Y2.393 Z0.25 I-2.393 J0.</v>
      </c>
      <c r="CR48" s="44" t="str">
        <f>CONCATENATE(CD48,ER106,ES106,ET106)</f>
        <v>15 L IZ-2.5 FMAX</v>
      </c>
      <c r="CT48" s="44" t="str">
        <f>CONCATENATE(CD48,DR100,DS100,DT100)</f>
        <v>15 CP IPA+90 IZ+0.25 DR+</v>
      </c>
      <c r="CU48" s="44" t="str">
        <f>CI33</f>
        <v>G03 X2.5 Y2.5 Z0.25 I0. J2.5</v>
      </c>
      <c r="CV48" s="44" t="str">
        <f>CT48</f>
        <v>15 CP IPA+90 IZ+0.25 DR+</v>
      </c>
      <c r="CW48" s="44" t="str">
        <f>CK33</f>
        <v>G03 X2.393 Y2.393 Z0.25 I0. J2.393</v>
      </c>
      <c r="CX48" s="127" t="str">
        <f>CT48</f>
        <v>15 CP IPA+90 IZ+0.25 DR+</v>
      </c>
      <c r="CZ48" s="127" t="str">
        <f>CONCATENATE(CD48,DR97,DS97,DT97)</f>
        <v>15 CC IX-2.5 IY+0</v>
      </c>
      <c r="DA48" s="44" t="str">
        <f>CY21</f>
        <v>G03 X-5.032 Y-5.016 Z0.5 I-0.016 J-5.016</v>
      </c>
      <c r="DB48" s="127" t="str">
        <f>CONCATENATE(CD48,EE97,EF97,EG97)</f>
        <v>15 CC IX-2.323 IY+0</v>
      </c>
      <c r="DC48" s="44" t="str">
        <f>CONCATENATE(GT48,GU48,GV48,GW48,GX48,GY48,GZ48,HA48,HB48,HC48,HD48,HE48)</f>
        <v>G03 X-4.818 Y-4.802 Z0.5 I-0.016 J-4.802</v>
      </c>
      <c r="DD48" s="127" t="str">
        <f>CONCATENATE(CD48,ER97,ES97,ET97)</f>
        <v>15 CC IX-2.23 IY+0</v>
      </c>
      <c r="DF48" s="44" t="str">
        <f>DE30</f>
        <v>G13.1</v>
      </c>
      <c r="DG48" s="44" t="str">
        <f>CI27</f>
        <v>G00 Z-2.5</v>
      </c>
      <c r="DH48" s="44" t="str">
        <f>DE30</f>
        <v>G13.1</v>
      </c>
      <c r="DI48" s="44" t="str">
        <f>DF39</f>
        <v>G03 X0. C0. Z2. I-5. J0.</v>
      </c>
      <c r="DJ48" s="44" t="str">
        <f>DG39</f>
        <v>G03 X0. C0. Z2. I-4.786 J0.</v>
      </c>
      <c r="DK48" s="44" t="str">
        <f>CS42</f>
        <v>G00 Z78.5</v>
      </c>
      <c r="DL48" s="44" t="str">
        <f ca="1">DF33</f>
        <v>G01 G41 X2.5 C-2.5 F129</v>
      </c>
      <c r="DM48" s="44" t="str">
        <f ca="1">DG33</f>
        <v>G01 G41 X2.393 C-2.393 F126</v>
      </c>
      <c r="DO48" s="44" t="str">
        <f>DN21</f>
        <v>G03 X-5. C5.016 Z0.5 I-5. J0.016</v>
      </c>
      <c r="DP48" s="44" t="str">
        <f>CONCATENATE(GT45,GU45,GV45,HQ48,GX45,GY45,GZ45,HA45,HB45,HC45,HD45,HE45)</f>
        <v>G03 X-4.7864.802 Z0.5 I-4.786 J0.016</v>
      </c>
      <c r="EA48" s="18"/>
      <c r="EE48" s="18"/>
      <c r="EF48" s="18"/>
      <c r="EG48" s="18"/>
      <c r="EH48" s="18"/>
      <c r="EI48" s="18"/>
      <c r="EJ48" s="18"/>
      <c r="EK48" s="18"/>
      <c r="EL48" s="18"/>
      <c r="EM48" s="18"/>
      <c r="EN48" s="18"/>
      <c r="EO48" s="18"/>
      <c r="EP48" s="18"/>
      <c r="ER48" s="18"/>
      <c r="ES48" s="18"/>
      <c r="ET48" s="18"/>
      <c r="EU48" s="18"/>
      <c r="EV48" s="18"/>
      <c r="EW48" s="18"/>
      <c r="EX48" s="18"/>
      <c r="EY48" s="18"/>
      <c r="EZ48" s="18"/>
      <c r="FA48" s="18"/>
      <c r="FB48" s="18"/>
      <c r="FC48" s="18"/>
      <c r="GS48" s="49">
        <v>15</v>
      </c>
      <c r="GT48" s="33" t="s">
        <v>546</v>
      </c>
      <c r="GU48" s="33" t="s">
        <v>545</v>
      </c>
      <c r="GV48" s="18" t="str">
        <f>SUBSTITUTE(GV46,",",".")</f>
        <v>-4.818</v>
      </c>
      <c r="GW48" s="18" t="str">
        <f>IF(GV46=GV47,". Y"," Y")</f>
        <v xml:space="preserve"> Y</v>
      </c>
      <c r="GX48" s="18" t="str">
        <f>SUBSTITUTE(GX46,",",".")</f>
        <v>-4.802</v>
      </c>
      <c r="GY48" s="18" t="str">
        <f>IF(GX46=GX47,". Z"," Z")</f>
        <v xml:space="preserve"> Z</v>
      </c>
      <c r="GZ48" s="18" t="str">
        <f>SUBSTITUTE(GZ46,",",".")</f>
        <v>0.5</v>
      </c>
      <c r="HA48" s="18" t="str">
        <f>IF(GZ46=GZ47,". I"," I")</f>
        <v xml:space="preserve"> I</v>
      </c>
      <c r="HB48" s="18" t="str">
        <f>SUBSTITUTE(HB46,",",".")</f>
        <v>-0.016</v>
      </c>
      <c r="HC48" s="18" t="str">
        <f>IF(HB46=HB47,". J"," J")</f>
        <v xml:space="preserve"> J</v>
      </c>
      <c r="HD48" s="18" t="str">
        <f>SUBSTITUTE(HD46,",",".")</f>
        <v>-4.802</v>
      </c>
      <c r="HE48" s="18" t="str">
        <f>IF(HD46=HD47,".","")</f>
        <v/>
      </c>
      <c r="HP48" s="49">
        <v>15</v>
      </c>
    </row>
    <row r="49" spans="12:224" ht="16.05" customHeight="1">
      <c r="L49" t="s">
        <v>1590</v>
      </c>
      <c r="M49" s="5" t="str">
        <f t="shared" si="8"/>
        <v>Réz, sárgaréz, bronz, &lt; 700 N/mm2</v>
      </c>
      <c r="N49" s="5" t="s">
        <v>1879</v>
      </c>
      <c r="O49" s="65" t="s">
        <v>1172</v>
      </c>
      <c r="P49" s="5" t="s">
        <v>764</v>
      </c>
      <c r="Q49" s="5" t="s">
        <v>1067</v>
      </c>
      <c r="R49" s="5" t="s">
        <v>697</v>
      </c>
      <c r="S49" s="5" t="s">
        <v>906</v>
      </c>
      <c r="T49" t="s">
        <v>1690</v>
      </c>
      <c r="U49" s="34" t="s">
        <v>426</v>
      </c>
      <c r="V49" s="5" t="s">
        <v>1267</v>
      </c>
      <c r="W49" s="5" t="s">
        <v>1752</v>
      </c>
      <c r="X49" s="5" t="s">
        <v>1293</v>
      </c>
      <c r="Y49" s="34" t="s">
        <v>1638</v>
      </c>
      <c r="Z49" s="5" t="s">
        <v>237</v>
      </c>
      <c r="AA49" s="5" t="s">
        <v>1306</v>
      </c>
      <c r="AB49" s="34" t="s">
        <v>679</v>
      </c>
      <c r="AC49" s="34" t="s">
        <v>43</v>
      </c>
      <c r="AD49" s="5" t="s">
        <v>709</v>
      </c>
      <c r="AE49" s="76" t="s">
        <v>1461</v>
      </c>
      <c r="AF49" s="90" t="s">
        <v>1498</v>
      </c>
      <c r="AG49" s="79" t="s">
        <v>375</v>
      </c>
      <c r="AH49" s="94" t="s">
        <v>65</v>
      </c>
      <c r="AI49" s="85" t="s">
        <v>285</v>
      </c>
      <c r="AK49" s="4">
        <v>48</v>
      </c>
      <c r="AL49" s="4">
        <v>5</v>
      </c>
      <c r="AO49" s="197" t="s">
        <v>2150</v>
      </c>
      <c r="AP49" s="198">
        <v>67.3</v>
      </c>
      <c r="AQ49">
        <v>3</v>
      </c>
      <c r="AR49">
        <v>1.9</v>
      </c>
      <c r="AS49">
        <v>3</v>
      </c>
      <c r="AU49">
        <v>6.2</v>
      </c>
      <c r="AV49">
        <v>39</v>
      </c>
      <c r="AW49">
        <v>2.1</v>
      </c>
      <c r="AY49" s="38">
        <f t="shared" si="0"/>
        <v>48</v>
      </c>
      <c r="AZ49" s="25" t="b">
        <f t="shared" si="1"/>
        <v>0</v>
      </c>
      <c r="BA49" s="25" t="b">
        <f t="shared" si="2"/>
        <v>0</v>
      </c>
      <c r="BB49" s="25" t="b">
        <f t="shared" si="3"/>
        <v>0</v>
      </c>
      <c r="BC49" s="25" t="b">
        <f t="shared" si="4"/>
        <v>0</v>
      </c>
      <c r="BI49" s="13"/>
      <c r="BJ49" s="15"/>
      <c r="BK49" s="10"/>
      <c r="BL49" s="9"/>
      <c r="BM49" s="10"/>
      <c r="BN49" s="10"/>
      <c r="BO49" s="10"/>
      <c r="BP49" s="10"/>
      <c r="BQ49" s="10"/>
      <c r="BR49" s="10"/>
      <c r="BS49" s="10"/>
      <c r="BT49" s="10"/>
      <c r="CA49" s="33"/>
      <c r="CB49" s="33"/>
      <c r="CD49" s="39"/>
      <c r="CR49" s="44"/>
      <c r="EA49" s="18"/>
      <c r="ER49" s="18"/>
      <c r="ES49" s="18"/>
      <c r="ET49" s="18"/>
      <c r="EU49" s="18"/>
      <c r="EV49" s="18"/>
      <c r="EW49" s="18"/>
      <c r="EX49" s="18"/>
      <c r="EY49" s="18"/>
      <c r="EZ49" s="18"/>
      <c r="FA49" s="18"/>
      <c r="FB49" s="18"/>
      <c r="FC49" s="18"/>
      <c r="GV49" s="33">
        <f>-GV46</f>
        <v>4.8179999999999996</v>
      </c>
      <c r="GX49" s="33">
        <f>GV46+HB46</f>
        <v>-4.8339999999999996</v>
      </c>
      <c r="GZ49" s="33">
        <f>GZ43</f>
        <v>0.5</v>
      </c>
      <c r="HB49" s="33">
        <f>GV49</f>
        <v>4.8179999999999996</v>
      </c>
      <c r="HD49" s="33">
        <f>-HD43</f>
        <v>-1.6E-2</v>
      </c>
    </row>
    <row r="50" spans="12:224" ht="16.05" customHeight="1">
      <c r="L50" t="s">
        <v>60</v>
      </c>
      <c r="M50" s="5" t="str">
        <f t="shared" si="8"/>
        <v>Réz, nagyszilárdságú bronz, &lt; 1500 N/mm2</v>
      </c>
      <c r="N50" s="34" t="s">
        <v>1880</v>
      </c>
      <c r="O50" s="65" t="s">
        <v>1173</v>
      </c>
      <c r="P50" s="5" t="s">
        <v>873</v>
      </c>
      <c r="Q50" s="5" t="s">
        <v>1068</v>
      </c>
      <c r="R50" s="5" t="s">
        <v>794</v>
      </c>
      <c r="S50" s="5" t="s">
        <v>974</v>
      </c>
      <c r="T50" t="s">
        <v>1691</v>
      </c>
      <c r="U50" s="34" t="s">
        <v>404</v>
      </c>
      <c r="V50" s="5" t="s">
        <v>1268</v>
      </c>
      <c r="W50" s="5" t="s">
        <v>1753</v>
      </c>
      <c r="X50" s="5" t="s">
        <v>1294</v>
      </c>
      <c r="Y50" s="34" t="s">
        <v>1639</v>
      </c>
      <c r="Z50" s="5" t="s">
        <v>255</v>
      </c>
      <c r="AA50" s="5" t="s">
        <v>1307</v>
      </c>
      <c r="AB50" s="34" t="s">
        <v>680</v>
      </c>
      <c r="AC50" s="34" t="s">
        <v>44</v>
      </c>
      <c r="AD50" s="5" t="s">
        <v>708</v>
      </c>
      <c r="AE50" s="76" t="s">
        <v>1369</v>
      </c>
      <c r="AF50" s="90" t="s">
        <v>1499</v>
      </c>
      <c r="AG50" s="79" t="s">
        <v>376</v>
      </c>
      <c r="AH50" s="94" t="s">
        <v>66</v>
      </c>
      <c r="AI50" s="85" t="s">
        <v>286</v>
      </c>
      <c r="AK50" s="4">
        <v>49</v>
      </c>
      <c r="AL50" s="4">
        <v>5</v>
      </c>
      <c r="AO50" s="197" t="s">
        <v>2151</v>
      </c>
      <c r="AP50" s="198">
        <v>67.3</v>
      </c>
      <c r="AQ50">
        <v>3</v>
      </c>
      <c r="AR50">
        <v>1.9</v>
      </c>
      <c r="AS50">
        <v>3</v>
      </c>
      <c r="AU50">
        <v>4.3</v>
      </c>
      <c r="AV50">
        <v>39</v>
      </c>
      <c r="AW50">
        <v>2.1</v>
      </c>
      <c r="AY50" s="38">
        <f t="shared" si="0"/>
        <v>49</v>
      </c>
      <c r="AZ50" s="25" t="b">
        <f t="shared" si="1"/>
        <v>0</v>
      </c>
      <c r="BA50" s="25" t="b">
        <f t="shared" si="2"/>
        <v>0</v>
      </c>
      <c r="BB50" s="25" t="b">
        <f t="shared" si="3"/>
        <v>0</v>
      </c>
      <c r="BC50" s="25" t="b">
        <f t="shared" si="4"/>
        <v>0</v>
      </c>
      <c r="BI50" s="13"/>
      <c r="BJ50" s="15"/>
      <c r="BK50" s="10"/>
      <c r="BL50" s="9"/>
      <c r="BM50" s="15" t="s">
        <v>636</v>
      </c>
      <c r="BN50" s="15" t="s">
        <v>637</v>
      </c>
      <c r="BO50" s="10"/>
      <c r="BP50" s="10"/>
      <c r="BQ50" s="10"/>
      <c r="BR50" s="10"/>
      <c r="BS50" s="10"/>
      <c r="BT50" s="10"/>
      <c r="CA50" s="33"/>
      <c r="CB50" s="33"/>
      <c r="CD50" s="39"/>
      <c r="CR50" s="44"/>
      <c r="EA50" s="18"/>
      <c r="ER50" s="18"/>
      <c r="ES50" s="18"/>
      <c r="ET50" s="18"/>
      <c r="EU50" s="18"/>
      <c r="EV50" s="18"/>
      <c r="EW50" s="18"/>
      <c r="EX50" s="18"/>
      <c r="EY50" s="18"/>
      <c r="EZ50" s="18"/>
      <c r="FA50" s="18"/>
      <c r="FB50" s="18"/>
      <c r="FC50" s="18"/>
      <c r="GV50" s="25">
        <f>INT(GV49)</f>
        <v>4</v>
      </c>
      <c r="GX50" s="25">
        <f>INT(GX49)</f>
        <v>-5</v>
      </c>
      <c r="GZ50" s="25">
        <f>INT(GZ49)</f>
        <v>0</v>
      </c>
      <c r="HB50" s="25">
        <f>INT(HB49)</f>
        <v>4</v>
      </c>
      <c r="HD50" s="25">
        <f>INT(HD49)</f>
        <v>-1</v>
      </c>
    </row>
    <row r="51" spans="12:224" ht="16.05" customHeight="1">
      <c r="M51" s="5" t="str">
        <f t="shared" si="8"/>
        <v>Alumínium, ötvözetlen</v>
      </c>
      <c r="N51" s="34" t="s">
        <v>1881</v>
      </c>
      <c r="O51" s="65" t="s">
        <v>1174</v>
      </c>
      <c r="P51" s="5" t="s">
        <v>874</v>
      </c>
      <c r="Q51" s="5" t="s">
        <v>1069</v>
      </c>
      <c r="R51" s="5" t="s">
        <v>795</v>
      </c>
      <c r="S51" s="5" t="s">
        <v>917</v>
      </c>
      <c r="T51" t="s">
        <v>1692</v>
      </c>
      <c r="U51" s="34" t="s">
        <v>405</v>
      </c>
      <c r="V51" s="5" t="s">
        <v>1269</v>
      </c>
      <c r="W51" s="5" t="s">
        <v>1754</v>
      </c>
      <c r="X51" s="5" t="s">
        <v>1295</v>
      </c>
      <c r="Y51" s="34" t="s">
        <v>1640</v>
      </c>
      <c r="Z51" s="34" t="s">
        <v>348</v>
      </c>
      <c r="AA51" s="5" t="s">
        <v>1308</v>
      </c>
      <c r="AB51" s="34" t="s">
        <v>681</v>
      </c>
      <c r="AC51" s="34" t="s">
        <v>424</v>
      </c>
      <c r="AD51" s="5" t="s">
        <v>1057</v>
      </c>
      <c r="AE51" s="76" t="s">
        <v>1370</v>
      </c>
      <c r="AF51" s="90" t="s">
        <v>1500</v>
      </c>
      <c r="AG51" s="79" t="s">
        <v>377</v>
      </c>
      <c r="AH51" s="94" t="s">
        <v>67</v>
      </c>
      <c r="AI51" s="85" t="s">
        <v>287</v>
      </c>
      <c r="AK51" s="4">
        <v>50</v>
      </c>
      <c r="AL51" s="4">
        <v>5</v>
      </c>
      <c r="AO51" s="197" t="s">
        <v>2152</v>
      </c>
      <c r="AP51" s="198">
        <v>67.3</v>
      </c>
      <c r="AQ51">
        <v>3</v>
      </c>
      <c r="AR51">
        <v>1.5</v>
      </c>
      <c r="AS51">
        <v>3</v>
      </c>
      <c r="AU51">
        <v>5.4</v>
      </c>
      <c r="AV51">
        <v>39</v>
      </c>
      <c r="AW51">
        <v>1.7</v>
      </c>
      <c r="AY51" s="38">
        <f t="shared" si="0"/>
        <v>50</v>
      </c>
      <c r="AZ51" s="25" t="b">
        <f t="shared" si="1"/>
        <v>0</v>
      </c>
      <c r="BA51" s="25" t="b">
        <f t="shared" si="2"/>
        <v>0</v>
      </c>
      <c r="BB51" s="25" t="b">
        <f t="shared" si="3"/>
        <v>0</v>
      </c>
      <c r="BC51" s="25" t="b">
        <f t="shared" si="4"/>
        <v>0</v>
      </c>
      <c r="BI51" s="13"/>
      <c r="BJ51" s="13" t="s">
        <v>882</v>
      </c>
      <c r="BK51" s="10">
        <f>0.54*BT6</f>
        <v>1.08</v>
      </c>
      <c r="BL51" s="9"/>
      <c r="BM51" s="9"/>
      <c r="BN51" s="9"/>
      <c r="BO51" s="10"/>
      <c r="BP51" s="10" t="b">
        <f>IF(BN55=101,BK37,IF(BN55=102,BL37,IF(BN55=103,BM37,IF(BN55=104,BN37,IF(BN55=105,BO37,IF(BN55=106,BP37,IF(BN55=107,BQ37,IF(BN55=108,BR37))))))))</f>
        <v>0</v>
      </c>
      <c r="BQ51" s="10" t="b">
        <f>IF(BN55=501,BK41,IF(BN55=502,BL41,IF(BN55=503,BM41,IF(BN55=504,BN41,IF(BN55=505,BO41,IF(BN55=506,BP41,IF(BN55=507,BQ41,IF(BN55=508,BR41))))))))</f>
        <v>0</v>
      </c>
      <c r="BR51" s="10" t="b">
        <f>IF(BN55=901,BK45,IF(BN55=902,BL45,IF(BN55=903,BM45,IF(BN55=904,BN45,IF(BN55=905,BO45,IF(BN55=906,BP45,IF(BN55=907,BQ45,IF(BN55=908,BR45))))))))</f>
        <v>0</v>
      </c>
      <c r="BS51" s="10"/>
      <c r="BT51" s="10"/>
      <c r="CA51" s="33"/>
      <c r="CB51" s="33"/>
      <c r="CD51" s="39">
        <v>16</v>
      </c>
      <c r="CE51" s="45">
        <f ca="1">LOOKUP(CB$54,CF$5:DP$5,CF51:DP51)</f>
        <v>0</v>
      </c>
      <c r="CF51" s="45"/>
      <c r="CJ51" s="44" t="str">
        <f>CONCATENATE(CD51,DR91,DS91,DT91)</f>
        <v>16 CC IX-5 IY+0</v>
      </c>
      <c r="CK51" s="44" t="str">
        <f>CG15</f>
        <v>G03 X2.5 Y2.5 Z0.25 I0. J2.5</v>
      </c>
      <c r="CL51" s="44" t="str">
        <f>CONCATENATE(CD51,ER118,ES118,ET118)</f>
        <v>16 CC IX-4.786 IY+0</v>
      </c>
      <c r="CN51" s="44" t="str">
        <f>CONCATENATE(CD51,FE118)</f>
        <v>16 FN 1: Q2 =+Q2 + +1</v>
      </c>
      <c r="CO51" s="44" t="str">
        <f>CI42</f>
        <v>G01 G40 X-2.5 Y-2.5</v>
      </c>
      <c r="CP51" s="44" t="str">
        <f ca="1">CONCATENATE(CD51,DR82,DS82,DT82,DU82,DV82,DW82)</f>
        <v>16 L IX+2.5 IY-2.5 RL F129</v>
      </c>
      <c r="CQ51" s="4" t="str">
        <f>CK42</f>
        <v>G01 G40 X-2.393 Y-2.393</v>
      </c>
      <c r="CR51" s="44" t="str">
        <f ca="1">CONCATENATE(CD51,ER109,ES109,ET109,EU109,EV109,EW109)</f>
        <v>16 L IX+2.393 IY-2.393 RL F126</v>
      </c>
      <c r="CT51" s="44" t="str">
        <f>CONCATENATE(CD51,DR103,DS103,DT103,DU103,DV103)</f>
        <v>16 L IX-2.5 IY-2.5 R0</v>
      </c>
      <c r="CU51" s="44" t="str">
        <f>CU21</f>
        <v>#2=0</v>
      </c>
      <c r="CV51" s="44" t="str">
        <f>CONCATENATE(CD51,EE103,EF103,EG103,EH103,EI103)</f>
        <v>16 L IX-2.323 IY-2.323 R0</v>
      </c>
      <c r="CW51" s="44" t="str">
        <f>CW21</f>
        <v>#2=0</v>
      </c>
      <c r="CX51" s="127" t="str">
        <f>CONCATENATE(CD51,ER103,ES103,ET103,EU103,EV103)</f>
        <v>16 L IX-2.23 IY-2.23 R0</v>
      </c>
      <c r="CZ51" s="127" t="str">
        <f>CONCATENATE(CD51,DR100,DS100,DT100)</f>
        <v>16 CP IPA+90 IZ+0.25 DR+</v>
      </c>
      <c r="DA51" s="44" t="str">
        <f>CY24</f>
        <v>G03 X5.032 Y-5.048 Z0.5 I5.032 J-0.016</v>
      </c>
      <c r="DB51" s="127" t="str">
        <f>CONCATENATE(CD51,DR100,DS100,DT100)</f>
        <v>16 CP IPA+90 IZ+0.25 DR+</v>
      </c>
      <c r="DC51" s="44" t="str">
        <f>CONCATENATE(GT51,GU51,GV51,GW51,GX51,GY51,GZ51,HA51,HB51,HC51,HD51,HE51)</f>
        <v>G03 X4.818 Y-4.834 Z0.5 I4.818 J-0.016</v>
      </c>
      <c r="DD51" s="127" t="str">
        <f>DB51</f>
        <v>16 CP IPA+90 IZ+0.25 DR+</v>
      </c>
      <c r="DF51" s="44" t="str">
        <f>DE33</f>
        <v>G00 Z102.5</v>
      </c>
      <c r="DG51" s="44" t="str">
        <f ca="1">DE15</f>
        <v>G01 G41 X2.5 C-2.5 F129</v>
      </c>
      <c r="DH51" s="44" t="str">
        <f>CM45</f>
        <v>G00 Z75.</v>
      </c>
      <c r="DI51" s="44" t="str">
        <f>DF42</f>
        <v>G03 X-2.5 C2.5 Z0.25 I-2.5 J0.</v>
      </c>
      <c r="DJ51" s="44" t="str">
        <f>DG42</f>
        <v>G03 X-2.393 C2.393 Z0.25 I-2.393 J0.</v>
      </c>
      <c r="DL51" s="44" t="str">
        <f>DF36</f>
        <v>G03 X2.5 C2.5 Z0.25 I0. J2.5</v>
      </c>
      <c r="DM51" s="44" t="str">
        <f>DG36</f>
        <v>G03 X2.393 C2.393 Z0.25 I0. J2.393</v>
      </c>
      <c r="DO51" s="44" t="str">
        <f>DN24</f>
        <v>G03 X-5.032 C-5.016 Z0.5 I-0.016 J-5.016</v>
      </c>
      <c r="DP51" s="44" t="str">
        <f>CONCATENATE(GT48,GU48,GV48,HQ51,GX48,GY48,GZ48,HA48,HB48,HC48,HD48,HE48)</f>
        <v>G03 X-4.818-4.802 Z0.5 I-0.016 J-4.802</v>
      </c>
      <c r="EA51" s="18"/>
      <c r="ER51" s="18"/>
      <c r="ES51" s="18"/>
      <c r="ET51" s="18"/>
      <c r="EU51" s="18"/>
      <c r="EV51" s="18"/>
      <c r="EW51" s="18"/>
      <c r="EX51" s="18"/>
      <c r="EY51" s="18"/>
      <c r="EZ51" s="18"/>
      <c r="FA51" s="18"/>
      <c r="FB51" s="18"/>
      <c r="FC51" s="18"/>
      <c r="GS51" s="49">
        <v>16</v>
      </c>
      <c r="GT51" s="33" t="s">
        <v>546</v>
      </c>
      <c r="GU51" s="33" t="s">
        <v>545</v>
      </c>
      <c r="GV51" s="18" t="str">
        <f>SUBSTITUTE(GV49,",",".")</f>
        <v>4.818</v>
      </c>
      <c r="GW51" s="18" t="str">
        <f>IF(GV49=GV50,". Y"," Y")</f>
        <v xml:space="preserve"> Y</v>
      </c>
      <c r="GX51" s="18" t="str">
        <f>SUBSTITUTE(GX49,",",".")</f>
        <v>-4.834</v>
      </c>
      <c r="GY51" s="18" t="str">
        <f>IF(GX49=GX50,". Z"," Z")</f>
        <v xml:space="preserve"> Z</v>
      </c>
      <c r="GZ51" s="18" t="str">
        <f>SUBSTITUTE(GZ49,",",".")</f>
        <v>0.5</v>
      </c>
      <c r="HA51" s="18" t="str">
        <f>IF(GZ49=GZ50,". I"," I")</f>
        <v xml:space="preserve"> I</v>
      </c>
      <c r="HB51" s="18" t="str">
        <f>SUBSTITUTE(HB49,",",".")</f>
        <v>4.818</v>
      </c>
      <c r="HC51" s="18" t="str">
        <f>IF(HB49=HB50,". J"," J")</f>
        <v xml:space="preserve"> J</v>
      </c>
      <c r="HD51" s="18" t="str">
        <f>SUBSTITUTE(HD49,",",".")</f>
        <v>-0.016</v>
      </c>
      <c r="HE51" s="18" t="str">
        <f>IF(HD49=HD50,".","")</f>
        <v/>
      </c>
      <c r="HP51" s="49">
        <v>16</v>
      </c>
    </row>
    <row r="52" spans="12:224" ht="16.05" customHeight="1">
      <c r="M52" s="5" t="str">
        <f t="shared" si="8"/>
        <v>Alumínium, ötvözött, &lt; 0.5% Si</v>
      </c>
      <c r="N52" s="5" t="s">
        <v>1882</v>
      </c>
      <c r="O52" s="65" t="s">
        <v>1175</v>
      </c>
      <c r="P52" s="5" t="s">
        <v>875</v>
      </c>
      <c r="Q52" s="5" t="s">
        <v>1070</v>
      </c>
      <c r="R52" s="5" t="s">
        <v>750</v>
      </c>
      <c r="S52" s="5" t="s">
        <v>918</v>
      </c>
      <c r="T52" t="s">
        <v>1693</v>
      </c>
      <c r="U52" s="34" t="s">
        <v>406</v>
      </c>
      <c r="V52" s="5" t="s">
        <v>1185</v>
      </c>
      <c r="W52" s="5" t="s">
        <v>1755</v>
      </c>
      <c r="X52" s="5" t="s">
        <v>1296</v>
      </c>
      <c r="Y52" s="34" t="s">
        <v>1641</v>
      </c>
      <c r="Z52" s="5" t="s">
        <v>349</v>
      </c>
      <c r="AA52" s="5" t="s">
        <v>1402</v>
      </c>
      <c r="AB52" s="34" t="s">
        <v>595</v>
      </c>
      <c r="AC52" s="34" t="s">
        <v>45</v>
      </c>
      <c r="AD52" s="5" t="s">
        <v>1058</v>
      </c>
      <c r="AE52" s="76" t="s">
        <v>1371</v>
      </c>
      <c r="AF52" s="90" t="s">
        <v>1515</v>
      </c>
      <c r="AG52" s="79" t="s">
        <v>378</v>
      </c>
      <c r="AH52" s="94" t="s">
        <v>68</v>
      </c>
      <c r="AI52" s="85" t="s">
        <v>134</v>
      </c>
      <c r="AK52" s="4">
        <v>51</v>
      </c>
      <c r="AL52" s="4">
        <v>5</v>
      </c>
      <c r="AO52" s="197" t="s">
        <v>2153</v>
      </c>
      <c r="AP52" s="198">
        <v>67.3</v>
      </c>
      <c r="AQ52">
        <v>3</v>
      </c>
      <c r="AR52">
        <v>1.5</v>
      </c>
      <c r="AS52">
        <v>3</v>
      </c>
      <c r="AU52">
        <v>3.8</v>
      </c>
      <c r="AV52">
        <v>39</v>
      </c>
      <c r="AW52">
        <v>1.7</v>
      </c>
      <c r="AY52" s="38">
        <f t="shared" si="0"/>
        <v>51</v>
      </c>
      <c r="AZ52" s="25" t="b">
        <f t="shared" si="1"/>
        <v>0</v>
      </c>
      <c r="BA52" s="25" t="b">
        <f t="shared" si="2"/>
        <v>0</v>
      </c>
      <c r="BB52" s="25" t="b">
        <f t="shared" si="3"/>
        <v>0</v>
      </c>
      <c r="BC52" s="25" t="b">
        <f t="shared" si="4"/>
        <v>0</v>
      </c>
      <c r="BI52" s="13"/>
      <c r="BJ52" s="13" t="s">
        <v>904</v>
      </c>
      <c r="BK52" s="11">
        <f>BK51/BM13</f>
        <v>0.10800000000000001</v>
      </c>
      <c r="BL52" s="9"/>
      <c r="BM52" s="25">
        <f>LOOKUP(BK52,BK36:BT36,BK35:BT35)</f>
        <v>6</v>
      </c>
      <c r="BN52" s="25">
        <f>LOOKUP(BK53,BJ37:BJ48,BI37:BI48)</f>
        <v>800</v>
      </c>
      <c r="BO52" s="10"/>
      <c r="BP52" s="10" t="b">
        <f>IF(BN55=109,BS37,IF(BN55=110,BT37,IF(BN55=201,BK38,IF(BN55=202,BL38,IF(BN55=203,BM38,IF(BN55=204,BN38,IF(BN55=205,BO38,IF(BN55=206,BP38))))))))</f>
        <v>0</v>
      </c>
      <c r="BQ52" s="10" t="b">
        <f>IF(BN55=509,BS41,IF(BN55=510,BT41,IF(BN55=601,BK42,IF(BN55=602,BL42,IF(BN55=603,BM42,IF(BN55=604,BN42,IF(BN55=605,BO42,IF(BN55=606,BP42))))))))</f>
        <v>0</v>
      </c>
      <c r="BR52" s="10" t="b">
        <f>IF(BN55=909,BS45,IF(BN55=910,BT45,IF(BN55=1001,BK46,IF(BN55=1002,BL46,IF(BN55=1003,BM46,IF(BN55=1004,BN46,IF(BN55=1005,BO46,IF(BN55=1006,BP46))))))))</f>
        <v>0</v>
      </c>
      <c r="BS52" s="10"/>
      <c r="BT52" s="10"/>
      <c r="CA52" s="33"/>
      <c r="CB52" s="33"/>
      <c r="CD52" s="39"/>
      <c r="CR52" s="44"/>
      <c r="EA52" s="18"/>
      <c r="ER52" s="18"/>
      <c r="ES52" s="18"/>
      <c r="ET52" s="18"/>
      <c r="EU52" s="18"/>
      <c r="EV52" s="18"/>
      <c r="EW52" s="18"/>
      <c r="EX52" s="18"/>
      <c r="EY52" s="18"/>
      <c r="EZ52" s="18"/>
      <c r="FA52" s="18"/>
      <c r="FB52" s="18"/>
      <c r="FC52" s="18"/>
      <c r="GV52" s="33">
        <f>-(GX49+HD49)</f>
        <v>4.8499999999999996</v>
      </c>
      <c r="GX52" s="33">
        <f>-GX49</f>
        <v>4.8339999999999996</v>
      </c>
      <c r="GZ52" s="33">
        <f>GZ43</f>
        <v>0.5</v>
      </c>
      <c r="HB52" s="33">
        <f>HD43</f>
        <v>1.6E-2</v>
      </c>
      <c r="HD52" s="33">
        <f>GX52</f>
        <v>4.8339999999999996</v>
      </c>
    </row>
    <row r="53" spans="12:224" ht="16.05" customHeight="1">
      <c r="M53" s="5" t="str">
        <f t="shared" si="8"/>
        <v>Alumínium, ötvözött, &lt; 10% Si</v>
      </c>
      <c r="N53" s="5" t="s">
        <v>1883</v>
      </c>
      <c r="O53" s="65" t="s">
        <v>1176</v>
      </c>
      <c r="P53" s="5" t="s">
        <v>812</v>
      </c>
      <c r="Q53" s="5" t="s">
        <v>1073</v>
      </c>
      <c r="R53" s="5" t="s">
        <v>751</v>
      </c>
      <c r="S53" s="5" t="s">
        <v>919</v>
      </c>
      <c r="T53" t="s">
        <v>1694</v>
      </c>
      <c r="U53" s="34" t="s">
        <v>407</v>
      </c>
      <c r="V53" s="5" t="s">
        <v>1186</v>
      </c>
      <c r="W53" s="5" t="s">
        <v>1756</v>
      </c>
      <c r="X53" s="5" t="s">
        <v>1297</v>
      </c>
      <c r="Y53" s="34" t="s">
        <v>1642</v>
      </c>
      <c r="Z53" s="5" t="s">
        <v>350</v>
      </c>
      <c r="AA53" s="5" t="s">
        <v>1403</v>
      </c>
      <c r="AB53" s="34" t="s">
        <v>596</v>
      </c>
      <c r="AC53" s="34" t="s">
        <v>46</v>
      </c>
      <c r="AD53" s="5" t="s">
        <v>958</v>
      </c>
      <c r="AE53" s="76" t="s">
        <v>1372</v>
      </c>
      <c r="AF53" s="90" t="s">
        <v>1516</v>
      </c>
      <c r="AG53" s="79" t="s">
        <v>396</v>
      </c>
      <c r="AH53" s="94" t="s">
        <v>69</v>
      </c>
      <c r="AI53" s="85" t="s">
        <v>135</v>
      </c>
      <c r="AK53" s="4">
        <v>52</v>
      </c>
      <c r="AL53" s="4">
        <v>6</v>
      </c>
      <c r="AM53" s="4">
        <v>2</v>
      </c>
      <c r="AN53" s="4">
        <v>1</v>
      </c>
      <c r="AO53" s="197" t="s">
        <v>2154</v>
      </c>
      <c r="AP53" s="198">
        <v>101.1</v>
      </c>
      <c r="AQ53">
        <v>6</v>
      </c>
      <c r="AR53">
        <v>6</v>
      </c>
      <c r="AS53">
        <v>3</v>
      </c>
      <c r="AT53">
        <v>1.25</v>
      </c>
      <c r="AU53">
        <v>19.3</v>
      </c>
      <c r="AV53">
        <v>64</v>
      </c>
      <c r="AW53">
        <v>7.8</v>
      </c>
      <c r="AY53" s="38">
        <f t="shared" si="0"/>
        <v>52</v>
      </c>
      <c r="AZ53" s="25" t="b">
        <f t="shared" si="1"/>
        <v>0</v>
      </c>
      <c r="BA53" s="25" t="b">
        <f t="shared" si="2"/>
        <v>0</v>
      </c>
      <c r="BB53" s="25">
        <f t="shared" si="3"/>
        <v>52</v>
      </c>
      <c r="BC53" s="25" t="b">
        <f t="shared" si="4"/>
        <v>0</v>
      </c>
      <c r="BI53" s="13"/>
      <c r="BJ53" s="13" t="s">
        <v>980</v>
      </c>
      <c r="BK53" s="10">
        <f>BK54/BM13</f>
        <v>2.5</v>
      </c>
      <c r="BL53" s="9"/>
      <c r="BM53" s="9"/>
      <c r="BN53" s="9"/>
      <c r="BO53" s="10"/>
      <c r="BP53" s="10" t="b">
        <f>IF(BN55=207,BQ38,IF(BN55=208,BR38,IF(BN55=209,BS38,IF(BN55=210,BT38,IF(BN55=301,BK39,IF(BN55=302,BL39,IF(BN55=303,BM39,IF(BN55=304,BN39))))))))</f>
        <v>0</v>
      </c>
      <c r="BQ53" s="10" t="b">
        <f>IF(BN55=607,BQ42,IF(BN55=608,BR42,IF(BN55=609,BS42,IF(BN55=610,BT42,IF(BN55=701,BK43,IF(BN55=702,BL43,IF(BN55=703,BM43,IF(BN55=704,BN43))))))))</f>
        <v>0</v>
      </c>
      <c r="BR53" s="10" t="b">
        <f>IF(BN55=1007,BQ46,IF(BN55=1008,BR46,IF(BN55=1009,BS46,IF(BN55=1010,BT46,IF(BN55=1101,BK47,IF(BN55=1102,BL47,IF(BN55=1103,BM47,IF(BN55=1104,BN47))))))))</f>
        <v>0</v>
      </c>
      <c r="BS53" s="10"/>
      <c r="BT53" s="10"/>
      <c r="CA53" s="33"/>
      <c r="CB53" s="33"/>
      <c r="CD53" s="39"/>
      <c r="CR53" s="44"/>
      <c r="EA53" s="18"/>
      <c r="ER53" s="18"/>
      <c r="ES53" s="18"/>
      <c r="ET53" s="18"/>
      <c r="EU53" s="18"/>
      <c r="EV53" s="18"/>
      <c r="EW53" s="18"/>
      <c r="EX53" s="18"/>
      <c r="EY53" s="18"/>
      <c r="EZ53" s="18"/>
      <c r="FA53" s="18"/>
      <c r="FB53" s="18"/>
      <c r="FC53" s="18"/>
      <c r="GV53" s="25">
        <f>INT(GV52)</f>
        <v>4</v>
      </c>
      <c r="GX53" s="25">
        <f>INT(GX52)</f>
        <v>4</v>
      </c>
      <c r="GZ53" s="25">
        <f>INT(GZ52)</f>
        <v>0</v>
      </c>
      <c r="HB53" s="25">
        <f>INT(HB52)</f>
        <v>0</v>
      </c>
      <c r="HD53" s="25">
        <f>INT(HD52)</f>
        <v>4</v>
      </c>
    </row>
    <row r="54" spans="12:224" ht="16.05" customHeight="1">
      <c r="M54" s="5" t="str">
        <f t="shared" si="8"/>
        <v>Alumínium, ötvözött, &gt; 10% Si</v>
      </c>
      <c r="N54" s="5" t="s">
        <v>1884</v>
      </c>
      <c r="O54" s="65" t="s">
        <v>1176</v>
      </c>
      <c r="P54" s="5" t="s">
        <v>581</v>
      </c>
      <c r="Q54" s="5" t="s">
        <v>1074</v>
      </c>
      <c r="R54" s="5" t="s">
        <v>590</v>
      </c>
      <c r="S54" s="5" t="s">
        <v>879</v>
      </c>
      <c r="T54" t="s">
        <v>1695</v>
      </c>
      <c r="U54" s="34" t="s">
        <v>407</v>
      </c>
      <c r="V54" s="5" t="s">
        <v>1187</v>
      </c>
      <c r="W54" s="5" t="s">
        <v>1757</v>
      </c>
      <c r="X54" s="5" t="s">
        <v>1291</v>
      </c>
      <c r="Y54" s="34" t="s">
        <v>1643</v>
      </c>
      <c r="Z54" s="5" t="s">
        <v>351</v>
      </c>
      <c r="AA54" s="5" t="s">
        <v>1404</v>
      </c>
      <c r="AB54" s="34" t="s">
        <v>597</v>
      </c>
      <c r="AC54" s="34" t="s">
        <v>47</v>
      </c>
      <c r="AD54" s="5" t="s">
        <v>959</v>
      </c>
      <c r="AE54" s="76" t="s">
        <v>1373</v>
      </c>
      <c r="AF54" s="90" t="s">
        <v>1601</v>
      </c>
      <c r="AG54" s="79" t="s">
        <v>397</v>
      </c>
      <c r="AH54" s="94" t="s">
        <v>70</v>
      </c>
      <c r="AI54" s="85" t="s">
        <v>116</v>
      </c>
      <c r="AK54" s="4">
        <v>53</v>
      </c>
      <c r="AL54" s="4">
        <v>6</v>
      </c>
      <c r="AM54" s="4">
        <v>2</v>
      </c>
      <c r="AN54" s="4">
        <v>1</v>
      </c>
      <c r="AO54" s="197" t="s">
        <v>2155</v>
      </c>
      <c r="AP54" s="198">
        <v>101.1</v>
      </c>
      <c r="AQ54">
        <v>6</v>
      </c>
      <c r="AR54">
        <v>6</v>
      </c>
      <c r="AS54">
        <v>3</v>
      </c>
      <c r="AT54">
        <v>1.25</v>
      </c>
      <c r="AU54">
        <v>14</v>
      </c>
      <c r="AV54">
        <v>64</v>
      </c>
      <c r="AW54">
        <v>7.8</v>
      </c>
      <c r="AY54" s="38">
        <f t="shared" si="0"/>
        <v>53</v>
      </c>
      <c r="AZ54" s="25" t="b">
        <f t="shared" si="1"/>
        <v>0</v>
      </c>
      <c r="BA54" s="25" t="b">
        <f t="shared" si="2"/>
        <v>0</v>
      </c>
      <c r="BB54" s="25">
        <f t="shared" si="3"/>
        <v>53</v>
      </c>
      <c r="BC54" s="25" t="b">
        <f t="shared" si="4"/>
        <v>0</v>
      </c>
      <c r="BI54" s="13"/>
      <c r="BJ54" s="15" t="s">
        <v>981</v>
      </c>
      <c r="BK54" s="10">
        <f>IF(C12&lt;=BS62,C12,BS62)</f>
        <v>25</v>
      </c>
      <c r="BL54" s="9"/>
      <c r="BM54" s="10"/>
      <c r="BN54" s="10"/>
      <c r="BO54" s="10"/>
      <c r="BP54" s="10" t="b">
        <f>IF(BN55=305,BO39,IF(BN55=306,BP39,IF(BN55=307,BQ39,IF(BN55=308,BR39,IF(BN55=309,BS39,IF(BN55=310,BT39,IF(BN55=401,BK40,IF(BN55=402,BL40))))))))</f>
        <v>0</v>
      </c>
      <c r="BQ54" s="10" t="b">
        <f>IF(BN55=705,BO43,IF(BN55=706,BP43,IF(BN55=707,BQ43,IF(BN55=708,BR43,IF(BN55=709,BS43,IF(BN55=710,BT43,IF(BN55=801,BK44,IF(BN55=802,BL44))))))))</f>
        <v>0</v>
      </c>
      <c r="BR54" s="10" t="b">
        <f>IF(BN55=1105,BO47,IF(BN55=1106,BP47,IF(BN55=1107,BQ47,IF(BN55=1108,BR47,IF(BN55=1109,BS47,IF(BN55=1110,BT47,IF(BN55=1201,BK48,IF(BN55=1202,BL48))))))))</f>
        <v>0</v>
      </c>
      <c r="BS54" s="10"/>
      <c r="BT54" s="10"/>
      <c r="CA54" s="39" t="s">
        <v>608</v>
      </c>
      <c r="CB54" s="33">
        <f ca="1">CB13-SUM(CB15:CB38)</f>
        <v>21</v>
      </c>
      <c r="CD54" s="39">
        <v>17</v>
      </c>
      <c r="CE54" s="45">
        <f ca="1">LOOKUP(CB$54,CF$5:DP$5,CF54:DP54)</f>
        <v>0</v>
      </c>
      <c r="CF54" s="45"/>
      <c r="CJ54" s="44" t="str">
        <f>CONCATENATE(CD54,DR94,DS94,DT94)</f>
        <v>17 CP IPA+360 IZ+2 DR+</v>
      </c>
      <c r="CK54" s="44" t="str">
        <f>CG18</f>
        <v>G03 X0. Y0. Z2. I-5. J0.</v>
      </c>
      <c r="CL54" s="44" t="str">
        <f>CJ54</f>
        <v>17 CP IPA+360 IZ+2 DR+</v>
      </c>
      <c r="CN54" s="44" t="str">
        <f>CONCATENATE(CD54,FE121)</f>
        <v>17 FN 12: IF +Q2 LT +Q1 GOTO LBL 101</v>
      </c>
      <c r="CO54" s="44" t="str">
        <f>CM36</f>
        <v>G00 Z27.5</v>
      </c>
      <c r="CP54" s="44" t="str">
        <f>CONCATENATE(CD54,DR85,DS85)</f>
        <v>17 CC IX+0 IY+2.5</v>
      </c>
      <c r="CQ54" s="4" t="str">
        <f>CK45</f>
        <v>G00 Z-2.5</v>
      </c>
      <c r="CR54" s="44" t="str">
        <f>CONCATENATE(CD54,ER112,ES112)</f>
        <v>17 CC IX+0 IY+2.393</v>
      </c>
      <c r="CT54" s="44" t="str">
        <f>CONCATENATE(CD54,EE106,FK121,FL121,EG106)</f>
        <v>17 L IZ+78.5 FMAX</v>
      </c>
      <c r="CU54" s="44" t="str">
        <f>CONCATENATE(FO54)</f>
        <v>WHILE[#2LT#1]DO2</v>
      </c>
      <c r="CV54" s="44" t="str">
        <f>CONCATENATE(CD54,EE106,FQ42,EG106)</f>
        <v>17 L IZ-26.5 FMAX</v>
      </c>
      <c r="CW54" s="44" t="str">
        <f>CU54</f>
        <v>WHILE[#2LT#1]DO2</v>
      </c>
      <c r="CX54" s="127" t="str">
        <f>CV54</f>
        <v>17 L IZ-26.5 FMAX</v>
      </c>
      <c r="CZ54" s="127" t="str">
        <f>CONCATENATE(CD54,DR103,FW33,DT103,DU103,DV103)</f>
        <v>17 L IX-2.564 IY-2.5 R0</v>
      </c>
      <c r="DA54" s="44" t="str">
        <f>CY27</f>
        <v>G03 X5.064 Y5.048 Z0.5 I0.016 J5.048</v>
      </c>
      <c r="DB54" s="127" t="str">
        <f>CONCATENATE(CD54,EE103,GJ33,EG103,EH103,EI103)</f>
        <v>17 L IX-2.387 IY-2.323 R0</v>
      </c>
      <c r="DC54" s="44" t="str">
        <f>CONCATENATE(GT54,GU54,GV54,GW54,GX54,GY54,GZ54,HA54,HB54,HC54,HD54,HE54)</f>
        <v>G03 X4.85 Y4.834 Z0.5 I0.016 J4.834</v>
      </c>
      <c r="DD54" s="127" t="str">
        <f>CONCATENATE(CD54,EE103,GW33,EG103,GY33,EI103)</f>
        <v>17 L IX-2.294 IY-2.23 R0</v>
      </c>
      <c r="DG54" s="44" t="str">
        <f>DE18</f>
        <v>G03 X2.5 C2.5 Z0.25 I0. J2.5</v>
      </c>
      <c r="DI54" s="44" t="str">
        <f>DF45</f>
        <v>G01 G40 X-2.5 C-2.5</v>
      </c>
      <c r="DJ54" s="44" t="str">
        <f>DG45</f>
        <v>G01 G40 X-2.393 C-2.393</v>
      </c>
      <c r="DL54" s="44" t="str">
        <f>CU51</f>
        <v>#2=0</v>
      </c>
      <c r="DM54" s="44" t="str">
        <f>DL54</f>
        <v>#2=0</v>
      </c>
      <c r="DO54" s="44" t="str">
        <f>DN27</f>
        <v>G03 X5.032 C-5.048 Z0.5 I5.032 J-0.016</v>
      </c>
      <c r="DP54" s="44" t="str">
        <f>CONCATENATE(GT51,GU51,GV51,HQ54,GX51,GY51,GZ51,HA51,HB51,HC51,HD51,HE51)</f>
        <v>G03 X4.818-4.834 Z0.5 I4.818 J-0.016</v>
      </c>
      <c r="EA54" s="18"/>
      <c r="ER54" s="18"/>
      <c r="ES54" s="18"/>
      <c r="ET54" s="18"/>
      <c r="EU54" s="18"/>
      <c r="EV54" s="18"/>
      <c r="EW54" s="18"/>
      <c r="EX54" s="18"/>
      <c r="EY54" s="18"/>
      <c r="EZ54" s="18"/>
      <c r="FA54" s="18"/>
      <c r="FB54" s="18"/>
      <c r="FC54" s="18"/>
      <c r="FN54" s="49">
        <v>17</v>
      </c>
      <c r="FO54" s="34" t="s">
        <v>943</v>
      </c>
      <c r="GS54" s="49">
        <v>17</v>
      </c>
      <c r="GT54" s="33" t="s">
        <v>546</v>
      </c>
      <c r="GU54" s="33" t="s">
        <v>545</v>
      </c>
      <c r="GV54" s="18" t="str">
        <f>SUBSTITUTE(GV52,",",".")</f>
        <v>4.85</v>
      </c>
      <c r="GW54" s="18" t="str">
        <f>IF(GV52=GV53,". Y"," Y")</f>
        <v xml:space="preserve"> Y</v>
      </c>
      <c r="GX54" s="18" t="str">
        <f>SUBSTITUTE(GX52,",",".")</f>
        <v>4.834</v>
      </c>
      <c r="GY54" s="18" t="str">
        <f>IF(GX52=GX53,". Z"," Z")</f>
        <v xml:space="preserve"> Z</v>
      </c>
      <c r="GZ54" s="18" t="str">
        <f>SUBSTITUTE(GZ52,",",".")</f>
        <v>0.5</v>
      </c>
      <c r="HA54" s="18" t="str">
        <f>IF(GZ52=GZ53,". I"," I")</f>
        <v xml:space="preserve"> I</v>
      </c>
      <c r="HB54" s="18" t="str">
        <f>SUBSTITUTE(HB52,",",".")</f>
        <v>0.016</v>
      </c>
      <c r="HC54" s="18" t="str">
        <f>IF(HB52=HB53,". J"," J")</f>
        <v xml:space="preserve"> J</v>
      </c>
      <c r="HD54" s="18" t="str">
        <f>SUBSTITUTE(HD52,",",".")</f>
        <v>4.834</v>
      </c>
      <c r="HE54" s="18" t="str">
        <f>IF(HD52=HD53,".","")</f>
        <v/>
      </c>
      <c r="HP54" s="49">
        <v>17</v>
      </c>
    </row>
    <row r="55" spans="12:224" ht="16.05" customHeight="1">
      <c r="M55" s="5" t="str">
        <f t="shared" si="8"/>
        <v>Inconel 718</v>
      </c>
      <c r="N55" s="5" t="s">
        <v>591</v>
      </c>
      <c r="O55" s="65" t="s">
        <v>591</v>
      </c>
      <c r="P55" s="5" t="s">
        <v>591</v>
      </c>
      <c r="Q55" s="5" t="s">
        <v>1075</v>
      </c>
      <c r="R55" s="5" t="s">
        <v>591</v>
      </c>
      <c r="S55" s="5" t="s">
        <v>591</v>
      </c>
      <c r="T55" s="5" t="s">
        <v>591</v>
      </c>
      <c r="U55" s="34" t="s">
        <v>591</v>
      </c>
      <c r="V55" s="5" t="s">
        <v>591</v>
      </c>
      <c r="W55" s="5" t="s">
        <v>591</v>
      </c>
      <c r="X55" s="5" t="s">
        <v>591</v>
      </c>
      <c r="Y55" s="34" t="s">
        <v>591</v>
      </c>
      <c r="Z55" s="5" t="s">
        <v>591</v>
      </c>
      <c r="AA55" s="5" t="s">
        <v>591</v>
      </c>
      <c r="AB55" s="34" t="s">
        <v>598</v>
      </c>
      <c r="AC55" s="34" t="s">
        <v>429</v>
      </c>
      <c r="AD55" s="5" t="s">
        <v>591</v>
      </c>
      <c r="AE55" s="76" t="s">
        <v>1374</v>
      </c>
      <c r="AF55" s="90" t="s">
        <v>1602</v>
      </c>
      <c r="AG55" s="79" t="s">
        <v>342</v>
      </c>
      <c r="AH55" s="96" t="s">
        <v>71</v>
      </c>
      <c r="AI55" s="85" t="s">
        <v>117</v>
      </c>
      <c r="AK55" s="4">
        <v>54</v>
      </c>
      <c r="AL55" s="4">
        <v>6</v>
      </c>
      <c r="AM55" s="4">
        <v>2</v>
      </c>
      <c r="AN55" s="4">
        <v>1</v>
      </c>
      <c r="AO55" s="197" t="s">
        <v>2156</v>
      </c>
      <c r="AP55" s="198">
        <v>101.1</v>
      </c>
      <c r="AQ55">
        <v>6</v>
      </c>
      <c r="AR55">
        <v>4.5</v>
      </c>
      <c r="AS55">
        <v>3</v>
      </c>
      <c r="AT55">
        <v>1</v>
      </c>
      <c r="AU55">
        <v>14.5</v>
      </c>
      <c r="AV55">
        <v>64</v>
      </c>
      <c r="AW55">
        <v>5.8</v>
      </c>
      <c r="AY55" s="38">
        <f t="shared" si="0"/>
        <v>54</v>
      </c>
      <c r="AZ55" s="25" t="b">
        <f t="shared" si="1"/>
        <v>0</v>
      </c>
      <c r="BA55" s="25" t="b">
        <f t="shared" si="2"/>
        <v>0</v>
      </c>
      <c r="BB55" s="25">
        <f t="shared" si="3"/>
        <v>54</v>
      </c>
      <c r="BC55" s="25" t="b">
        <f t="shared" si="4"/>
        <v>0</v>
      </c>
      <c r="BI55" s="13"/>
      <c r="BJ55" s="15"/>
      <c r="BK55" s="10"/>
      <c r="BL55" s="9"/>
      <c r="BM55" s="10"/>
      <c r="BN55" s="6">
        <f>BN52+BM52</f>
        <v>806</v>
      </c>
      <c r="BO55" s="10"/>
      <c r="BP55" s="10" t="b">
        <f>IF(BN55=403,BM40,IF(BN55=404,BN40,IF(BN55=405,BO40,IF(BN55=406,BP40,IF(BN55=407,BQ40,IF(BN55=408,BR40,IF(BN55=409,BS40,IF(BN55=410,BT40))))))))</f>
        <v>0</v>
      </c>
      <c r="BQ55" s="10">
        <f>IF(BN55=803,BM44,IF(BN55=804,BN44,IF(BN55=805,BO44,IF(BN55=806,BP44,IF(BN55=807,BQ44,IF(BN55=808,BR44,IF(BN55=809,BS44,IF(BN55=810,BT44))))))))</f>
        <v>0.557603930993124</v>
      </c>
      <c r="BR55" s="10" t="b">
        <f>IF(BN55=1203,BM48,IF(BN55=1204,BN48,IF(BN55=1205,BO48,IF(BN55=1206,BP48,IF(BN55=1207,BQ48,IF(BN55=1208,BR48,IF(BN55=1209,BS48,IF(BN55=1210,BT48))))))))</f>
        <v>0</v>
      </c>
      <c r="BS55" s="7" t="s">
        <v>633</v>
      </c>
      <c r="BT55" s="10"/>
      <c r="CD55" s="39"/>
      <c r="CR55" s="44"/>
      <c r="EA55" s="18"/>
      <c r="ER55" s="18"/>
      <c r="ES55" s="18"/>
      <c r="ET55" s="18"/>
      <c r="EU55" s="18"/>
      <c r="EV55" s="18"/>
      <c r="EW55" s="18"/>
      <c r="EX55" s="18"/>
      <c r="EY55" s="18"/>
      <c r="EZ55" s="18"/>
      <c r="FA55" s="18"/>
      <c r="FB55" s="18"/>
      <c r="FC55" s="18"/>
    </row>
    <row r="56" spans="12:224" ht="16.05" customHeight="1">
      <c r="M56" s="5" t="str">
        <f t="shared" si="8"/>
        <v>Grafit</v>
      </c>
      <c r="N56" s="34" t="s">
        <v>960</v>
      </c>
      <c r="O56" s="65" t="s">
        <v>960</v>
      </c>
      <c r="P56" s="5" t="s">
        <v>582</v>
      </c>
      <c r="Q56" s="5" t="s">
        <v>1076</v>
      </c>
      <c r="R56" s="5" t="s">
        <v>790</v>
      </c>
      <c r="S56" s="5" t="s">
        <v>1056</v>
      </c>
      <c r="T56" t="s">
        <v>1056</v>
      </c>
      <c r="U56" s="34" t="s">
        <v>790</v>
      </c>
      <c r="V56" s="5" t="s">
        <v>1188</v>
      </c>
      <c r="W56" s="5" t="s">
        <v>960</v>
      </c>
      <c r="X56" s="5" t="s">
        <v>1292</v>
      </c>
      <c r="Y56" s="34" t="s">
        <v>1644</v>
      </c>
      <c r="Z56" s="5" t="s">
        <v>960</v>
      </c>
      <c r="AA56" s="5" t="s">
        <v>1188</v>
      </c>
      <c r="AB56" s="34" t="s">
        <v>960</v>
      </c>
      <c r="AC56" s="34" t="s">
        <v>430</v>
      </c>
      <c r="AD56" s="5" t="s">
        <v>960</v>
      </c>
      <c r="AE56" s="76" t="s">
        <v>1375</v>
      </c>
      <c r="AF56" s="90" t="s">
        <v>1603</v>
      </c>
      <c r="AG56" s="79" t="s">
        <v>343</v>
      </c>
      <c r="AH56" s="94" t="s">
        <v>72</v>
      </c>
      <c r="AI56" s="85" t="s">
        <v>118</v>
      </c>
      <c r="AK56" s="4">
        <v>55</v>
      </c>
      <c r="AL56" s="4">
        <v>6</v>
      </c>
      <c r="AM56" s="4">
        <v>2</v>
      </c>
      <c r="AN56" s="4">
        <v>1</v>
      </c>
      <c r="AO56" s="197" t="s">
        <v>2157</v>
      </c>
      <c r="AP56" s="198">
        <v>101.1</v>
      </c>
      <c r="AQ56">
        <v>6</v>
      </c>
      <c r="AR56">
        <v>4.5</v>
      </c>
      <c r="AS56">
        <v>3</v>
      </c>
      <c r="AT56">
        <v>1</v>
      </c>
      <c r="AU56">
        <v>10</v>
      </c>
      <c r="AV56">
        <v>64</v>
      </c>
      <c r="AW56">
        <v>5.8</v>
      </c>
      <c r="AY56" s="38">
        <f t="shared" si="0"/>
        <v>55</v>
      </c>
      <c r="AZ56" s="25" t="b">
        <f t="shared" si="1"/>
        <v>0</v>
      </c>
      <c r="BA56" s="25" t="b">
        <f t="shared" si="2"/>
        <v>0</v>
      </c>
      <c r="BB56" s="25">
        <f t="shared" si="3"/>
        <v>55</v>
      </c>
      <c r="BC56" s="25" t="b">
        <f t="shared" si="4"/>
        <v>0</v>
      </c>
      <c r="BI56" s="13"/>
      <c r="BJ56" s="15"/>
      <c r="BK56" s="10"/>
      <c r="BL56" s="9"/>
      <c r="BM56" s="10"/>
      <c r="BN56" s="10"/>
      <c r="BO56" s="10"/>
      <c r="BP56" s="10" t="b">
        <f>IF(BN55&gt;402,BP55,IF(BN55&gt;304,BP54,IF(BN55&gt;206,BP53,IF(BN55&gt;108,BP52,IF(BN55&gt;0,BP51)))))</f>
        <v>0</v>
      </c>
      <c r="BQ56" s="10">
        <f>IF(BN55&gt;802,BQ55,IF(BN55&gt;704,BQ54,IF(BN55&gt;606,BQ53,IF(BN55&gt;508,BQ52,IF(BN55&gt;410,BQ51)))))</f>
        <v>0.557603930993124</v>
      </c>
      <c r="BR56" s="10" t="b">
        <f>IF(BN55&gt;1202,BR55,IF(BN55&gt;1104,BR54,IF(BN55&gt;1006,BR53,IF(BN55&gt;908,BR52,IF(BN55&gt;810,BR51)))))</f>
        <v>0</v>
      </c>
      <c r="BS56" s="31">
        <f>IF(BN55&gt;810,BR56,IF(BN55&gt;410,BQ56,IF(BN55&gt;0,BP56)))</f>
        <v>0.557603930993124</v>
      </c>
      <c r="BT56" s="32" t="s">
        <v>671</v>
      </c>
      <c r="BX56"/>
      <c r="CD56" s="39"/>
      <c r="CR56" s="44"/>
      <c r="EA56" s="18"/>
      <c r="ER56" s="18"/>
      <c r="ES56" s="18"/>
      <c r="ET56" s="18"/>
      <c r="EU56" s="18"/>
      <c r="EV56" s="18"/>
      <c r="EW56" s="18"/>
      <c r="EX56" s="18"/>
      <c r="EY56" s="18"/>
      <c r="EZ56" s="18"/>
      <c r="FA56" s="18"/>
      <c r="FB56" s="18"/>
      <c r="FC56" s="18"/>
    </row>
    <row r="57" spans="12:224" ht="16.05" customHeight="1">
      <c r="M57" s="5"/>
      <c r="N57" s="34"/>
      <c r="O57" s="65"/>
      <c r="AE57" s="76"/>
      <c r="AH57" s="95"/>
      <c r="AK57" s="4">
        <v>56</v>
      </c>
      <c r="AL57" s="4">
        <v>6</v>
      </c>
      <c r="AM57" s="4">
        <v>2</v>
      </c>
      <c r="AN57" s="4">
        <v>1</v>
      </c>
      <c r="AO57" s="197" t="s">
        <v>2158</v>
      </c>
      <c r="AP57" s="198">
        <v>87</v>
      </c>
      <c r="AQ57">
        <v>4</v>
      </c>
      <c r="AR57">
        <v>3.8</v>
      </c>
      <c r="AS57">
        <v>3</v>
      </c>
      <c r="AT57">
        <v>0.8</v>
      </c>
      <c r="AU57">
        <v>9</v>
      </c>
      <c r="AV57">
        <v>51</v>
      </c>
      <c r="AW57">
        <v>4.8</v>
      </c>
      <c r="AY57" s="38">
        <f t="shared" si="0"/>
        <v>56</v>
      </c>
      <c r="AZ57" s="25" t="b">
        <f t="shared" si="1"/>
        <v>0</v>
      </c>
      <c r="BA57" s="25" t="b">
        <f t="shared" si="2"/>
        <v>0</v>
      </c>
      <c r="BB57" s="25">
        <f t="shared" si="3"/>
        <v>56</v>
      </c>
      <c r="BC57" s="25" t="b">
        <f t="shared" si="4"/>
        <v>0</v>
      </c>
      <c r="BS57" s="28">
        <f>BS56*0.67</f>
        <v>0.37359463376539309</v>
      </c>
      <c r="BT57" s="4" t="s">
        <v>672</v>
      </c>
      <c r="BW57" s="39" t="s">
        <v>538</v>
      </c>
      <c r="BX57" s="40">
        <f>ROUND((C10-BM13)/4,3)</f>
        <v>2.5</v>
      </c>
      <c r="CD57" s="39">
        <v>18</v>
      </c>
      <c r="CE57" s="45">
        <f ca="1">LOOKUP(CB$54,CF$5:DP$5,CF57:DP57)</f>
        <v>0</v>
      </c>
      <c r="CF57" s="45"/>
      <c r="CJ57" s="44" t="str">
        <f>CONCATENATE(CD57,DR97,DS97,DT97)</f>
        <v>18 CC IX-2.5 IY+0</v>
      </c>
      <c r="CK57" s="44" t="str">
        <f>CG21</f>
        <v>G03 X-2.5 Y2.5 Z0.25 I-2.5 J0.</v>
      </c>
      <c r="CL57" s="44" t="str">
        <f>CONCATENATE(CD57,ER124,ES124,ET124)</f>
        <v>18 CC IX-2.393 IY+0</v>
      </c>
      <c r="CN57" s="44" t="str">
        <f>CONCATENATE(CD57,EE106,FF124,FG124,EG106)</f>
        <v>18 L IZ+75 FMAX</v>
      </c>
      <c r="CO57" s="44" t="str">
        <f>CM39</f>
        <v>#2=#2+1</v>
      </c>
      <c r="CP57" s="44" t="str">
        <f>CONCATENATE(CD57,DR88,DS88,DT88)</f>
        <v>18 CP IPA+90 IZ+0.25 DR+</v>
      </c>
      <c r="CQ57" s="4" t="str">
        <f ca="1">CK48</f>
        <v>G01 G41 X2.5 Y-2.5 F129</v>
      </c>
      <c r="CR57" s="44" t="str">
        <f>CONCATENATE(CD57,DR88,DS88,DT88)</f>
        <v>18 CP IPA+90 IZ+0.25 DR+</v>
      </c>
      <c r="CU57" s="44" t="str">
        <f>CI36</f>
        <v>G03 X0. Y0. Z2. I-5. J0.</v>
      </c>
      <c r="CV57" s="44" t="str">
        <f ca="1">CONCATENATE(CD57,DR82,DS82,DT82,DU82,DV82,DW82)</f>
        <v>18 L IX+2.5 IY-2.5 RL F129</v>
      </c>
      <c r="CW57" s="44" t="str">
        <f>CK36</f>
        <v>G03 X0. Y0. Z2. I-4.786 J0.</v>
      </c>
      <c r="CX57" s="127" t="str">
        <f ca="1">CONCATENATE(CD57,ER109,ES109,ET109,EU109,EV109,EW109)</f>
        <v>18 L IX+2.393 IY-2.393 RL F126</v>
      </c>
      <c r="CZ57" s="127" t="str">
        <f>CONCATENATE(CD57,DR106,DS106,DT106)</f>
        <v>18 L IZ+102.5 FMAX</v>
      </c>
      <c r="DA57" s="44" t="str">
        <f>CY30</f>
        <v>G03 X-2.5 Y2.5 Z0.25 I-2.5 J0.</v>
      </c>
      <c r="DB57" s="127" t="str">
        <f>CONCATENATE(CD57,EE106,EF106,EG106)</f>
        <v>18 L IZ-2.5 FMAX</v>
      </c>
      <c r="DC57" s="44" t="str">
        <f>CK39</f>
        <v>G03 X-2.393 Y2.393 Z0.25 I-2.393 J0.</v>
      </c>
      <c r="DD57" s="127" t="str">
        <f>DB57</f>
        <v>18 L IZ-2.5 FMAX</v>
      </c>
      <c r="DG57" s="44" t="str">
        <f>DE21</f>
        <v>G03 X0. C0. Z2. I-5. J0.</v>
      </c>
      <c r="DI57" s="44" t="str">
        <f>DH39</f>
        <v>G00 Z27.5</v>
      </c>
      <c r="DJ57" s="44" t="str">
        <f>DG48</f>
        <v>G00 Z-2.5</v>
      </c>
      <c r="DL57" s="44" t="str">
        <f>CU54</f>
        <v>WHILE[#2LT#1]DO2</v>
      </c>
      <c r="DM57" s="44" t="str">
        <f>DL57</f>
        <v>WHILE[#2LT#1]DO2</v>
      </c>
      <c r="DO57" s="44" t="str">
        <f>DN30</f>
        <v>G03 X5.064 C5.048 Z0.5 I0.016 J5.048</v>
      </c>
      <c r="DP57" s="44" t="str">
        <f>CONCATENATE(GT54,GU54,GV54,HQ57,GX54,GY54,GZ54,HA54,HB54,HC54,HD54,HE54)</f>
        <v>G03 X4.854.834 Z0.5 I0.016 J4.834</v>
      </c>
      <c r="ER57" s="18"/>
      <c r="ES57" s="18"/>
      <c r="ET57" s="18"/>
      <c r="EU57" s="18"/>
      <c r="EV57" s="18"/>
      <c r="EW57" s="18"/>
      <c r="EX57" s="18"/>
      <c r="EY57" s="18"/>
      <c r="EZ57" s="18"/>
      <c r="FA57" s="18"/>
      <c r="FB57" s="18"/>
      <c r="FC57" s="18"/>
      <c r="GS57" s="49"/>
      <c r="HP57" s="49">
        <v>18</v>
      </c>
    </row>
    <row r="58" spans="12:224" ht="16.05" customHeight="1">
      <c r="M58" s="5"/>
      <c r="N58" s="34"/>
      <c r="O58" s="65"/>
      <c r="AE58" s="76"/>
      <c r="AH58" s="95"/>
      <c r="AK58" s="4">
        <v>57</v>
      </c>
      <c r="AL58" s="4">
        <v>6</v>
      </c>
      <c r="AM58" s="4">
        <v>2</v>
      </c>
      <c r="AN58" s="4">
        <v>1</v>
      </c>
      <c r="AO58" s="197" t="s">
        <v>2159</v>
      </c>
      <c r="AP58" s="198">
        <v>87</v>
      </c>
      <c r="AQ58">
        <v>4</v>
      </c>
      <c r="AR58">
        <v>3.8</v>
      </c>
      <c r="AS58">
        <v>3</v>
      </c>
      <c r="AT58">
        <v>0.8</v>
      </c>
      <c r="AU58">
        <v>12.1</v>
      </c>
      <c r="AV58">
        <v>51</v>
      </c>
      <c r="AW58">
        <v>4.8</v>
      </c>
      <c r="AY58" s="38">
        <f t="shared" si="0"/>
        <v>57</v>
      </c>
      <c r="AZ58" s="25" t="b">
        <f t="shared" si="1"/>
        <v>0</v>
      </c>
      <c r="BA58" s="25" t="b">
        <f t="shared" si="2"/>
        <v>0</v>
      </c>
      <c r="BB58" s="25">
        <f t="shared" si="3"/>
        <v>57</v>
      </c>
      <c r="BC58" s="25" t="b">
        <f t="shared" si="4"/>
        <v>0</v>
      </c>
      <c r="BS58" s="28">
        <f>IF(BT10=5,BS57,IF(BT10=6,BS57,IF(BT10=7,BS57,BS56)))</f>
        <v>0.557603930993124</v>
      </c>
      <c r="BX58"/>
      <c r="CD58" s="39"/>
      <c r="CR58" s="44"/>
      <c r="ER58" s="18"/>
      <c r="ES58" s="18"/>
      <c r="ET58" s="18"/>
      <c r="EU58" s="18"/>
      <c r="EV58" s="18"/>
      <c r="EW58" s="18"/>
      <c r="EX58" s="18"/>
      <c r="EY58" s="18"/>
      <c r="EZ58" s="18"/>
      <c r="FA58" s="18"/>
      <c r="FB58" s="18"/>
      <c r="FC58" s="18"/>
      <c r="GW58" s="33">
        <f>-(BY69+(4*HD43))</f>
        <v>-2.4569999999999999</v>
      </c>
      <c r="GY58" s="33">
        <f>-BY69</f>
        <v>-2.3929999999999998</v>
      </c>
    </row>
    <row r="59" spans="12:224" ht="16.05" customHeight="1">
      <c r="M59" s="5"/>
      <c r="N59" s="34"/>
      <c r="O59" s="65"/>
      <c r="AE59" s="76"/>
      <c r="AH59" s="95"/>
      <c r="AK59" s="4">
        <v>58</v>
      </c>
      <c r="AL59" s="4">
        <v>6</v>
      </c>
      <c r="AM59" s="4">
        <v>2</v>
      </c>
      <c r="AN59" s="4">
        <v>1</v>
      </c>
      <c r="AO59" s="197" t="s">
        <v>2160</v>
      </c>
      <c r="AP59" s="198">
        <v>80.8</v>
      </c>
      <c r="AQ59">
        <v>3</v>
      </c>
      <c r="AR59">
        <v>3</v>
      </c>
      <c r="AS59">
        <v>3</v>
      </c>
      <c r="AT59">
        <v>0.7</v>
      </c>
      <c r="AU59">
        <v>7</v>
      </c>
      <c r="AV59">
        <v>39</v>
      </c>
      <c r="AW59">
        <v>3.8</v>
      </c>
      <c r="AY59" s="38">
        <f t="shared" si="0"/>
        <v>58</v>
      </c>
      <c r="AZ59" s="25" t="b">
        <f t="shared" si="1"/>
        <v>0</v>
      </c>
      <c r="BA59" s="25" t="b">
        <f t="shared" si="2"/>
        <v>0</v>
      </c>
      <c r="BB59" s="25">
        <f t="shared" si="3"/>
        <v>58</v>
      </c>
      <c r="BC59" s="25" t="b">
        <f t="shared" si="4"/>
        <v>0</v>
      </c>
      <c r="BX59"/>
      <c r="CD59" s="39"/>
      <c r="CR59" s="44"/>
      <c r="ER59" s="18"/>
      <c r="ES59" s="18"/>
      <c r="ET59" s="18"/>
      <c r="EU59" s="18"/>
      <c r="EV59" s="18"/>
      <c r="EW59" s="18"/>
      <c r="EX59" s="18"/>
      <c r="EY59" s="18"/>
      <c r="EZ59" s="18"/>
      <c r="FA59" s="18"/>
      <c r="FB59" s="18"/>
      <c r="FC59" s="18"/>
      <c r="GW59" s="25">
        <f>INT(GW58)</f>
        <v>-3</v>
      </c>
      <c r="GY59" s="25">
        <f>INT(GY58)</f>
        <v>-3</v>
      </c>
    </row>
    <row r="60" spans="12:224" ht="16.05" customHeight="1">
      <c r="M60" s="5" t="str">
        <f t="shared" si="8"/>
        <v>D = menet átmérő (mm)</v>
      </c>
      <c r="N60" s="51" t="s">
        <v>1885</v>
      </c>
      <c r="O60" s="65" t="s">
        <v>1177</v>
      </c>
      <c r="P60" s="51" t="s">
        <v>683</v>
      </c>
      <c r="Q60" s="51" t="s">
        <v>1077</v>
      </c>
      <c r="R60" s="51" t="s">
        <v>914</v>
      </c>
      <c r="S60" s="34" t="s">
        <v>931</v>
      </c>
      <c r="T60" s="51" t="s">
        <v>1696</v>
      </c>
      <c r="U60" s="34" t="s">
        <v>408</v>
      </c>
      <c r="V60" s="51" t="s">
        <v>1189</v>
      </c>
      <c r="W60" s="51" t="s">
        <v>1758</v>
      </c>
      <c r="X60" s="51" t="s">
        <v>1341</v>
      </c>
      <c r="Y60" s="34" t="s">
        <v>1645</v>
      </c>
      <c r="Z60" s="34" t="s">
        <v>352</v>
      </c>
      <c r="AA60" s="34" t="s">
        <v>1405</v>
      </c>
      <c r="AB60" s="34" t="s">
        <v>599</v>
      </c>
      <c r="AC60" s="34" t="s">
        <v>97</v>
      </c>
      <c r="AD60" s="34" t="s">
        <v>640</v>
      </c>
      <c r="AE60" s="76" t="s">
        <v>1376</v>
      </c>
      <c r="AF60" s="90" t="s">
        <v>1604</v>
      </c>
      <c r="AG60" s="51" t="s">
        <v>344</v>
      </c>
      <c r="AH60" s="95" t="s">
        <v>91</v>
      </c>
      <c r="AI60" s="51" t="s">
        <v>119</v>
      </c>
      <c r="AK60" s="4">
        <v>59</v>
      </c>
      <c r="AL60" s="4">
        <v>6</v>
      </c>
      <c r="AM60" s="4">
        <v>2</v>
      </c>
      <c r="AN60" s="4">
        <v>1</v>
      </c>
      <c r="AO60" s="197" t="s">
        <v>2161</v>
      </c>
      <c r="AP60" s="198">
        <v>80.8</v>
      </c>
      <c r="AQ60">
        <v>3</v>
      </c>
      <c r="AR60">
        <v>3</v>
      </c>
      <c r="AS60">
        <v>3</v>
      </c>
      <c r="AT60">
        <v>0.7</v>
      </c>
      <c r="AU60">
        <v>10</v>
      </c>
      <c r="AV60">
        <v>39</v>
      </c>
      <c r="AW60">
        <v>3.8</v>
      </c>
      <c r="AY60" s="38">
        <f t="shared" si="0"/>
        <v>59</v>
      </c>
      <c r="AZ60" s="25" t="b">
        <f t="shared" si="1"/>
        <v>0</v>
      </c>
      <c r="BA60" s="25" t="b">
        <f t="shared" si="2"/>
        <v>0</v>
      </c>
      <c r="BB60" s="25">
        <f t="shared" si="3"/>
        <v>59</v>
      </c>
      <c r="BC60" s="25" t="b">
        <f t="shared" si="4"/>
        <v>0</v>
      </c>
      <c r="BW60" s="33"/>
      <c r="BX60" s="33"/>
      <c r="BY60" s="33"/>
      <c r="BZ60" s="33"/>
      <c r="CA60" s="33"/>
      <c r="CD60" s="39">
        <v>19</v>
      </c>
      <c r="CE60" s="45">
        <f ca="1">LOOKUP(CB$54,CF$5:DP$5,CF60:DP60)</f>
        <v>0</v>
      </c>
      <c r="CF60" s="45"/>
      <c r="CJ60" s="44" t="str">
        <f>CONCATENATE(CD60,DR100,DS100,DT100)</f>
        <v>19 CP IPA+90 IZ+0.25 DR+</v>
      </c>
      <c r="CK60" s="44" t="str">
        <f>CG24</f>
        <v>G01 G40 X-2.5 Y-2.5</v>
      </c>
      <c r="CL60" s="44" t="str">
        <f>CJ60</f>
        <v>19 CP IPA+90 IZ+0.25 DR+</v>
      </c>
      <c r="CO60" s="44" t="str">
        <f>CM42</f>
        <v>END1</v>
      </c>
      <c r="CP60" s="44" t="str">
        <f>CONCATENATE(CD60,DR91,DS91,DT91)</f>
        <v>19 CC IX-5 IY+0</v>
      </c>
      <c r="CQ60" s="4" t="str">
        <f>CK51</f>
        <v>G03 X2.5 Y2.5 Z0.25 I0. J2.5</v>
      </c>
      <c r="CR60" s="44" t="str">
        <f>CONCATENATE(CD60,ER118,ES118,ET118)</f>
        <v>19 CC IX-4.786 IY+0</v>
      </c>
      <c r="CU60" s="44" t="str">
        <f>CU30</f>
        <v>#2=#2+1</v>
      </c>
      <c r="CV60" s="44" t="str">
        <f>CONCATENATE(CD60,DR85,DS85)</f>
        <v>19 CC IX+0 IY+2.5</v>
      </c>
      <c r="CW60" s="44" t="str">
        <f>CW30</f>
        <v>#2=#2+1</v>
      </c>
      <c r="CX60" s="127" t="str">
        <f>CONCATENATE(CD60,ER112,ES112)</f>
        <v>19 CC IX+0 IY+2.393</v>
      </c>
      <c r="DA60" s="44" t="str">
        <f>CY33</f>
        <v>G01 G40 X-2.564 Y-2.5</v>
      </c>
      <c r="DB60" s="127" t="str">
        <f ca="1">CONCATENATE(CD60,DR82,DS82,DT82,DU82,DV82,DW82)</f>
        <v>19 L IX+2.5 IY-2.5 RL F129</v>
      </c>
      <c r="DC60" s="44" t="str">
        <f>CONCATENATE(GT60,GU60,GV60,GW60,GX60,GY60,GZ60)</f>
        <v>G01 G40 X-2.457 Y-2.393</v>
      </c>
      <c r="DD60" s="127" t="str">
        <f ca="1">CONCATENATE(CD60,ER109,ES109,ET109,EU109,EV109,EW109)</f>
        <v>19 L IX+2.393 IY-2.393 RL F126</v>
      </c>
      <c r="DG60" s="44" t="str">
        <f>DE24</f>
        <v>G03 X-2.5 C2.5 Z0.25 I-2.5 J0.</v>
      </c>
      <c r="DI60" s="44" t="str">
        <f>DH42</f>
        <v>#2=#2+1</v>
      </c>
      <c r="DJ60" s="44" t="str">
        <f ca="1">DG51</f>
        <v>G01 G41 X2.5 C-2.5 F129</v>
      </c>
      <c r="DL60" s="44" t="str">
        <f>DF39</f>
        <v>G03 X0. C0. Z2. I-5. J0.</v>
      </c>
      <c r="DM60" s="44" t="str">
        <f>DG39</f>
        <v>G03 X0. C0. Z2. I-4.786 J0.</v>
      </c>
      <c r="DO60" s="44" t="str">
        <f>DN33</f>
        <v>G03 X-2.5 C2.5 Z0.25 I-2.5 J0.</v>
      </c>
      <c r="DP60" s="44" t="str">
        <f>DG42</f>
        <v>G03 X-2.393 C2.393 Z0.25 I-2.393 J0.</v>
      </c>
      <c r="ER60" s="18"/>
      <c r="ES60" s="18"/>
      <c r="ET60" s="18"/>
      <c r="EU60" s="18"/>
      <c r="EV60" s="18"/>
      <c r="EW60" s="18"/>
      <c r="EX60" s="18"/>
      <c r="EY60" s="18"/>
      <c r="EZ60" s="18"/>
      <c r="FA60" s="18"/>
      <c r="FB60" s="18"/>
      <c r="FC60" s="18"/>
      <c r="GS60" s="49">
        <v>19</v>
      </c>
      <c r="GT60" s="33" t="s">
        <v>543</v>
      </c>
      <c r="GU60" s="33" t="s">
        <v>537</v>
      </c>
      <c r="GV60" s="33" t="s">
        <v>545</v>
      </c>
      <c r="GW60" s="18" t="str">
        <f>SUBSTITUTE(GW58,",",".")</f>
        <v>-2.457</v>
      </c>
      <c r="GX60" s="18" t="str">
        <f>IF(GW58=GW59,". Y"," Y")</f>
        <v xml:space="preserve"> Y</v>
      </c>
      <c r="GY60" s="18" t="str">
        <f>SUBSTITUTE(GY58,",",".")</f>
        <v>-2.393</v>
      </c>
      <c r="GZ60" s="18" t="str">
        <f>IF(GY58=GY59,".","")</f>
        <v/>
      </c>
    </row>
    <row r="61" spans="12:224" ht="16.05" customHeight="1">
      <c r="M61" s="5" t="str">
        <f t="shared" si="8"/>
        <v>P = menetemelkedés (mm)</v>
      </c>
      <c r="N61" s="51" t="s">
        <v>1886</v>
      </c>
      <c r="O61" s="65" t="s">
        <v>659</v>
      </c>
      <c r="P61" s="51" t="s">
        <v>880</v>
      </c>
      <c r="Q61" s="51" t="s">
        <v>1197</v>
      </c>
      <c r="R61" s="51" t="s">
        <v>939</v>
      </c>
      <c r="S61" s="34" t="s">
        <v>932</v>
      </c>
      <c r="T61" s="51" t="s">
        <v>1697</v>
      </c>
      <c r="U61" s="34" t="s">
        <v>409</v>
      </c>
      <c r="V61" s="51" t="s">
        <v>1190</v>
      </c>
      <c r="W61" s="51" t="s">
        <v>1759</v>
      </c>
      <c r="X61" s="51" t="s">
        <v>1342</v>
      </c>
      <c r="Y61" s="34" t="s">
        <v>1646</v>
      </c>
      <c r="Z61" s="34" t="s">
        <v>353</v>
      </c>
      <c r="AA61" s="34" t="s">
        <v>1231</v>
      </c>
      <c r="AB61" s="34" t="s">
        <v>678</v>
      </c>
      <c r="AC61" s="34" t="s">
        <v>48</v>
      </c>
      <c r="AD61" s="34" t="s">
        <v>659</v>
      </c>
      <c r="AE61" s="76" t="s">
        <v>1377</v>
      </c>
      <c r="AF61" s="90" t="s">
        <v>1605</v>
      </c>
      <c r="AG61" s="51" t="s">
        <v>345</v>
      </c>
      <c r="AH61" s="95" t="s">
        <v>92</v>
      </c>
      <c r="AI61" s="51" t="s">
        <v>1390</v>
      </c>
      <c r="AK61" s="4">
        <v>60</v>
      </c>
      <c r="AL61" s="4">
        <v>6</v>
      </c>
      <c r="AM61" s="4">
        <v>2</v>
      </c>
      <c r="AN61" s="4">
        <v>1</v>
      </c>
      <c r="AO61" s="197" t="s">
        <v>2162</v>
      </c>
      <c r="AP61" s="198">
        <v>80.8</v>
      </c>
      <c r="AQ61">
        <v>3</v>
      </c>
      <c r="AR61">
        <v>2.6</v>
      </c>
      <c r="AS61">
        <v>3</v>
      </c>
      <c r="AT61">
        <v>0.6</v>
      </c>
      <c r="AU61">
        <v>8.5</v>
      </c>
      <c r="AV61">
        <v>39</v>
      </c>
      <c r="AW61">
        <v>3.3</v>
      </c>
      <c r="AY61" s="38">
        <f t="shared" si="0"/>
        <v>60</v>
      </c>
      <c r="AZ61" s="25" t="b">
        <f t="shared" si="1"/>
        <v>0</v>
      </c>
      <c r="BA61" s="25" t="b">
        <f t="shared" si="2"/>
        <v>0</v>
      </c>
      <c r="BB61" s="25">
        <f t="shared" si="3"/>
        <v>60</v>
      </c>
      <c r="BC61" s="25" t="b">
        <f t="shared" si="4"/>
        <v>0</v>
      </c>
      <c r="BW61" s="7" t="s">
        <v>631</v>
      </c>
      <c r="BX61" s="7" t="s">
        <v>805</v>
      </c>
      <c r="BY61" s="7" t="s">
        <v>538</v>
      </c>
      <c r="BZ61" s="7" t="s">
        <v>883</v>
      </c>
      <c r="CA61" s="7" t="s">
        <v>884</v>
      </c>
      <c r="CD61" s="39"/>
      <c r="CR61" s="44"/>
      <c r="ER61" s="18"/>
      <c r="ES61" s="18"/>
      <c r="ET61" s="18"/>
      <c r="EU61" s="18"/>
      <c r="EV61" s="18"/>
      <c r="EW61" s="18"/>
      <c r="EX61" s="18"/>
      <c r="EY61" s="18"/>
      <c r="EZ61" s="18"/>
      <c r="FA61" s="18"/>
      <c r="FB61" s="18"/>
      <c r="FC61" s="18"/>
    </row>
    <row r="62" spans="12:224" ht="16.05" customHeight="1">
      <c r="M62" s="5" t="str">
        <f t="shared" si="8"/>
        <v>P = menetemelkedés (TPI)</v>
      </c>
      <c r="N62" s="34" t="s">
        <v>1887</v>
      </c>
      <c r="O62" s="65" t="s">
        <v>1178</v>
      </c>
      <c r="P62" s="34" t="s">
        <v>954</v>
      </c>
      <c r="Q62" s="34" t="s">
        <v>1198</v>
      </c>
      <c r="R62" s="34" t="s">
        <v>940</v>
      </c>
      <c r="S62" s="34" t="s">
        <v>933</v>
      </c>
      <c r="T62" s="34" t="s">
        <v>1698</v>
      </c>
      <c r="U62" s="34" t="s">
        <v>410</v>
      </c>
      <c r="V62" s="34" t="s">
        <v>1191</v>
      </c>
      <c r="W62" s="34" t="s">
        <v>1760</v>
      </c>
      <c r="X62" s="34" t="s">
        <v>1415</v>
      </c>
      <c r="Y62" s="34" t="s">
        <v>739</v>
      </c>
      <c r="Z62" s="34" t="s">
        <v>354</v>
      </c>
      <c r="AA62" s="34" t="s">
        <v>1105</v>
      </c>
      <c r="AB62" s="34" t="s">
        <v>604</v>
      </c>
      <c r="AC62" s="34" t="s">
        <v>98</v>
      </c>
      <c r="AD62" s="34" t="s">
        <v>739</v>
      </c>
      <c r="AE62" s="76" t="s">
        <v>1555</v>
      </c>
      <c r="AF62" s="90" t="s">
        <v>1606</v>
      </c>
      <c r="AG62" s="34" t="s">
        <v>346</v>
      </c>
      <c r="AH62" s="95" t="s">
        <v>93</v>
      </c>
      <c r="AI62" s="51" t="s">
        <v>1391</v>
      </c>
      <c r="AK62" s="4">
        <v>61</v>
      </c>
      <c r="AL62" s="4">
        <v>6</v>
      </c>
      <c r="AM62" s="4">
        <v>2</v>
      </c>
      <c r="AN62" s="4">
        <v>1</v>
      </c>
      <c r="AO62" s="197" t="s">
        <v>2163</v>
      </c>
      <c r="AP62" s="198">
        <v>80.8</v>
      </c>
      <c r="AQ62">
        <v>3</v>
      </c>
      <c r="AR62">
        <v>2.6</v>
      </c>
      <c r="AS62">
        <v>3</v>
      </c>
      <c r="AT62">
        <v>0.6</v>
      </c>
      <c r="AU62">
        <v>6</v>
      </c>
      <c r="AV62">
        <v>39</v>
      </c>
      <c r="AW62">
        <v>3.3</v>
      </c>
      <c r="AY62" s="38">
        <f t="shared" si="0"/>
        <v>61</v>
      </c>
      <c r="AZ62" s="25" t="b">
        <f t="shared" si="1"/>
        <v>0</v>
      </c>
      <c r="BA62" s="25" t="b">
        <f t="shared" si="2"/>
        <v>0</v>
      </c>
      <c r="BB62" s="25">
        <f t="shared" si="3"/>
        <v>61</v>
      </c>
      <c r="BC62" s="25" t="b">
        <f t="shared" si="4"/>
        <v>0</v>
      </c>
      <c r="BR62" s="7" t="s">
        <v>862</v>
      </c>
      <c r="BS62" s="27">
        <f>IF(D22&gt;0,D22,C22)</f>
        <v>31</v>
      </c>
      <c r="BW62" s="25">
        <v>1</v>
      </c>
      <c r="BX62" s="25">
        <f>ROUND(C10-(2*0.33*BK51),2)</f>
        <v>19.29</v>
      </c>
      <c r="BY62" s="40">
        <f>ROUND((BX62-BM$13)/4,3)</f>
        <v>2.323</v>
      </c>
      <c r="BZ62" s="25">
        <f ca="1">ROUND(C$29*(BX62-BM$13)/BX62,0)</f>
        <v>124</v>
      </c>
      <c r="CA62" s="29">
        <f ca="1">278*BX62/C$29</f>
        <v>20.785348837209302</v>
      </c>
      <c r="CR62" s="44"/>
      <c r="ER62" s="18"/>
      <c r="ES62" s="18"/>
      <c r="ET62" s="18"/>
      <c r="EU62" s="18"/>
      <c r="EV62" s="18"/>
      <c r="EW62" s="18"/>
      <c r="EX62" s="18"/>
      <c r="EY62" s="18"/>
      <c r="EZ62" s="18"/>
      <c r="FA62" s="18"/>
      <c r="FB62" s="18"/>
      <c r="FC62" s="18"/>
    </row>
    <row r="63" spans="12:224" ht="16.05" customHeight="1">
      <c r="M63" s="5" t="str">
        <f t="shared" si="8"/>
        <v>L =menet hossz (mm)</v>
      </c>
      <c r="N63" s="51" t="s">
        <v>1888</v>
      </c>
      <c r="O63" s="65" t="s">
        <v>1179</v>
      </c>
      <c r="P63" s="51" t="s">
        <v>586</v>
      </c>
      <c r="Q63" s="51" t="s">
        <v>1199</v>
      </c>
      <c r="R63" s="51" t="s">
        <v>1102</v>
      </c>
      <c r="S63" s="34" t="s">
        <v>831</v>
      </c>
      <c r="T63" s="51" t="s">
        <v>1699</v>
      </c>
      <c r="U63" s="34" t="s">
        <v>495</v>
      </c>
      <c r="V63" s="51" t="s">
        <v>1192</v>
      </c>
      <c r="W63" s="51" t="s">
        <v>1761</v>
      </c>
      <c r="X63" s="51" t="s">
        <v>1416</v>
      </c>
      <c r="Y63" s="34" t="s">
        <v>1647</v>
      </c>
      <c r="Z63" s="34" t="s">
        <v>355</v>
      </c>
      <c r="AA63" s="34" t="s">
        <v>1158</v>
      </c>
      <c r="AB63" s="34" t="s">
        <v>605</v>
      </c>
      <c r="AC63" s="34" t="s">
        <v>99</v>
      </c>
      <c r="AD63" s="34" t="s">
        <v>713</v>
      </c>
      <c r="AE63" s="76" t="s">
        <v>1556</v>
      </c>
      <c r="AF63" s="90" t="s">
        <v>1607</v>
      </c>
      <c r="AG63" s="51" t="s">
        <v>452</v>
      </c>
      <c r="AH63" s="95" t="s">
        <v>212</v>
      </c>
      <c r="AI63" s="51" t="s">
        <v>120</v>
      </c>
      <c r="AK63" s="4">
        <v>62</v>
      </c>
      <c r="AL63" s="4">
        <v>6</v>
      </c>
      <c r="AM63" s="4">
        <v>2</v>
      </c>
      <c r="AN63" s="4">
        <v>1</v>
      </c>
      <c r="AO63" s="197" t="s">
        <v>2164</v>
      </c>
      <c r="AP63" s="198">
        <v>80.8</v>
      </c>
      <c r="AQ63">
        <v>3</v>
      </c>
      <c r="AR63">
        <v>2.2999999999999998</v>
      </c>
      <c r="AS63">
        <v>3</v>
      </c>
      <c r="AT63">
        <v>0.5</v>
      </c>
      <c r="AU63">
        <v>7.3</v>
      </c>
      <c r="AV63">
        <v>39</v>
      </c>
      <c r="AW63">
        <v>2.8</v>
      </c>
      <c r="AY63" s="38">
        <f t="shared" si="0"/>
        <v>62</v>
      </c>
      <c r="AZ63" s="25" t="b">
        <f t="shared" si="1"/>
        <v>0</v>
      </c>
      <c r="BA63" s="25" t="b">
        <f t="shared" si="2"/>
        <v>0</v>
      </c>
      <c r="BB63" s="25">
        <f t="shared" si="3"/>
        <v>62</v>
      </c>
      <c r="BC63" s="25" t="b">
        <f t="shared" si="4"/>
        <v>0</v>
      </c>
      <c r="BR63" s="7" t="s">
        <v>632</v>
      </c>
      <c r="BS63" s="28">
        <f>BS62/C12</f>
        <v>1.24</v>
      </c>
      <c r="BW63" s="25">
        <v>2</v>
      </c>
      <c r="BX63" s="25">
        <f>C10</f>
        <v>20</v>
      </c>
      <c r="BY63" s="40">
        <f>ROUND((BX63-BM$13)/4,3)</f>
        <v>2.5</v>
      </c>
      <c r="BZ63" s="25">
        <f ca="1">ROUND(C$29*(BX63-BM$13)/BX63,0)</f>
        <v>129</v>
      </c>
      <c r="CA63" s="29">
        <f ca="1">278*BX63/C$29</f>
        <v>21.550387596899224</v>
      </c>
      <c r="CD63" s="39">
        <v>20</v>
      </c>
      <c r="CE63" s="45">
        <f ca="1">LOOKUP(CB$54,CF$5:DP$5,CF63:DP63)</f>
        <v>0</v>
      </c>
      <c r="CF63" s="45"/>
      <c r="CJ63" s="44" t="str">
        <f>CONCATENATE(CD63,DR103,DS103,DT103,DU103,DV103)</f>
        <v>20 L IX-2.5 IY-2.5 R0</v>
      </c>
      <c r="CK63" s="44" t="str">
        <f>CG27</f>
        <v>G00 Z102.5</v>
      </c>
      <c r="CL63" s="44" t="str">
        <f>CONCATENATE(CD63,ER130,ES130,ET130,EU130,EV130)</f>
        <v>20 L IX-2.393 IY-2.393 R0</v>
      </c>
      <c r="CO63" s="44" t="str">
        <f>CM45</f>
        <v>G00 Z75.</v>
      </c>
      <c r="CP63" s="44" t="str">
        <f>CONCATENATE(CD63,DR94,DS94,DT94)</f>
        <v>20 CP IPA+360 IZ+2 DR+</v>
      </c>
      <c r="CQ63" s="4" t="str">
        <f>CK54</f>
        <v>G03 X0. Y0. Z2. I-5. J0.</v>
      </c>
      <c r="CR63" s="44" t="str">
        <f>CONCATENATE(CD63,DR94,DS94,DT94)</f>
        <v>20 CP IPA+360 IZ+2 DR+</v>
      </c>
      <c r="CU63" s="44" t="str">
        <f>CONCATENATE(FO63)</f>
        <v>END2</v>
      </c>
      <c r="CV63" s="44" t="str">
        <f>CONCATENATE(CD63,DR88,DS88,DT88)</f>
        <v>20 CP IPA+90 IZ+0.25 DR+</v>
      </c>
      <c r="CW63" s="44" t="str">
        <f>CU63</f>
        <v>END2</v>
      </c>
      <c r="CX63" s="127" t="str">
        <f>CV63</f>
        <v>20 CP IPA+90 IZ+0.25 DR+</v>
      </c>
      <c r="DA63" s="44" t="str">
        <f>CY36</f>
        <v>G00 Z102.5</v>
      </c>
      <c r="DB63" s="127" t="str">
        <f>CONCATENATE(CD63,DR85,DS85)</f>
        <v>20 CC IX+0 IY+2.5</v>
      </c>
      <c r="DC63" s="44" t="str">
        <f>CK27</f>
        <v>G00 Z-2.5</v>
      </c>
      <c r="DD63" s="127" t="str">
        <f>CONCATENATE(CD63,ER112,ES112)</f>
        <v>20 CC IX+0 IY+2.393</v>
      </c>
      <c r="DG63" s="44" t="str">
        <f>DE27</f>
        <v>G01 G40 X-2.5 C-2.5</v>
      </c>
      <c r="DI63" s="44" t="str">
        <f>DH45</f>
        <v>END1</v>
      </c>
      <c r="DJ63" s="44" t="str">
        <f>DG54</f>
        <v>G03 X2.5 C2.5 Z0.25 I0. J2.5</v>
      </c>
      <c r="DL63" s="44" t="str">
        <f>CU60</f>
        <v>#2=#2+1</v>
      </c>
      <c r="DM63" s="44" t="str">
        <f>DL63</f>
        <v>#2=#2+1</v>
      </c>
      <c r="DO63" s="44" t="str">
        <f>DN36</f>
        <v>G01 G40 X-2.564 C-2.5</v>
      </c>
      <c r="DP63" s="44" t="str">
        <f>CONCATENATE(GT60,GU60,GV60,GW60,HQ63,GY60,GZ60)</f>
        <v>G01 G40 X-2.457-2.393</v>
      </c>
      <c r="ER63" s="18"/>
      <c r="ES63" s="18"/>
      <c r="ET63" s="18"/>
      <c r="EU63" s="18"/>
      <c r="EV63" s="18"/>
      <c r="EW63" s="18"/>
      <c r="EX63" s="18"/>
      <c r="EY63" s="18"/>
      <c r="EZ63" s="18"/>
      <c r="FA63" s="18"/>
      <c r="FB63" s="18"/>
      <c r="FC63" s="18"/>
      <c r="FN63" s="49">
        <v>20</v>
      </c>
      <c r="FO63" s="18" t="s">
        <v>944</v>
      </c>
      <c r="HP63" s="49">
        <v>20</v>
      </c>
    </row>
    <row r="64" spans="12:224" ht="16.05" customHeight="1">
      <c r="M64" s="5" t="str">
        <f t="shared" si="8"/>
        <v>Gépóra költség (€)</v>
      </c>
      <c r="N64" s="51" t="s">
        <v>1909</v>
      </c>
      <c r="O64" s="34" t="s">
        <v>1938</v>
      </c>
      <c r="P64" s="34" t="s">
        <v>1998</v>
      </c>
      <c r="Q64" s="34" t="s">
        <v>1943</v>
      </c>
      <c r="R64" s="34" t="s">
        <v>1833</v>
      </c>
      <c r="S64" s="34" t="s">
        <v>1838</v>
      </c>
      <c r="T64" s="51" t="s">
        <v>1933</v>
      </c>
      <c r="U64" s="34" t="s">
        <v>1968</v>
      </c>
      <c r="V64" s="34" t="s">
        <v>1948</v>
      </c>
      <c r="W64" s="34" t="s">
        <v>2000</v>
      </c>
      <c r="X64" s="34" t="s">
        <v>1973</v>
      </c>
      <c r="Y64" s="140" t="s">
        <v>1978</v>
      </c>
      <c r="Z64" s="34" t="s">
        <v>1983</v>
      </c>
      <c r="AA64" s="34" t="s">
        <v>2010</v>
      </c>
      <c r="AB64" s="34" t="s">
        <v>1988</v>
      </c>
      <c r="AC64" s="34" t="s">
        <v>2015</v>
      </c>
      <c r="AD64" s="34" t="s">
        <v>1824</v>
      </c>
      <c r="AE64" s="34" t="s">
        <v>1993</v>
      </c>
      <c r="AF64" s="90" t="s">
        <v>2005</v>
      </c>
      <c r="AG64" s="81" t="s">
        <v>1953</v>
      </c>
      <c r="AH64" s="81" t="s">
        <v>1954</v>
      </c>
      <c r="AI64" s="87" t="s">
        <v>1963</v>
      </c>
      <c r="AK64" s="4">
        <v>63</v>
      </c>
      <c r="AL64" s="4">
        <v>6</v>
      </c>
      <c r="AM64" s="4">
        <v>2</v>
      </c>
      <c r="AN64" s="4">
        <v>1</v>
      </c>
      <c r="AO64" s="197" t="s">
        <v>2165</v>
      </c>
      <c r="AP64" s="198">
        <v>80.8</v>
      </c>
      <c r="AQ64">
        <v>3</v>
      </c>
      <c r="AR64">
        <v>2.2999999999999998</v>
      </c>
      <c r="AS64">
        <v>3</v>
      </c>
      <c r="AT64">
        <v>0.5</v>
      </c>
      <c r="AU64">
        <v>5</v>
      </c>
      <c r="AV64">
        <v>39</v>
      </c>
      <c r="AW64">
        <v>2.8</v>
      </c>
      <c r="AY64" s="38">
        <f t="shared" si="0"/>
        <v>63</v>
      </c>
      <c r="AZ64" s="25" t="b">
        <f t="shared" si="1"/>
        <v>0</v>
      </c>
      <c r="BA64" s="25" t="b">
        <f t="shared" si="2"/>
        <v>0</v>
      </c>
      <c r="BB64" s="25">
        <f t="shared" si="3"/>
        <v>63</v>
      </c>
      <c r="BC64" s="25" t="b">
        <f t="shared" si="4"/>
        <v>0</v>
      </c>
      <c r="BR64" s="7" t="s">
        <v>841</v>
      </c>
      <c r="BS64" s="28">
        <f>LOOKUP(BS63,BR67:BR99,BS67:BS99)</f>
        <v>0.97</v>
      </c>
      <c r="BW64" s="25"/>
      <c r="BY64" s="25"/>
      <c r="BZ64" s="25"/>
      <c r="CA64" s="42">
        <f ca="1">ROUND(CA62+CA63,0)</f>
        <v>42</v>
      </c>
      <c r="CR64" s="44"/>
      <c r="ER64" s="18"/>
      <c r="ES64" s="18"/>
      <c r="ET64" s="18"/>
      <c r="EU64" s="18"/>
      <c r="EV64" s="18"/>
      <c r="EW64" s="18"/>
      <c r="EX64" s="18"/>
      <c r="EY64" s="18"/>
      <c r="EZ64" s="18"/>
      <c r="FA64" s="18"/>
      <c r="FB64" s="18"/>
      <c r="FC64" s="18"/>
    </row>
    <row r="65" spans="13:223" ht="16.05" customHeight="1">
      <c r="M65" s="5"/>
      <c r="N65" s="34"/>
      <c r="O65" s="65"/>
      <c r="T65" s="34"/>
      <c r="AK65" s="4">
        <v>64</v>
      </c>
      <c r="AL65" s="4">
        <v>6</v>
      </c>
      <c r="AM65" s="4">
        <v>2</v>
      </c>
      <c r="AN65" s="4">
        <v>1</v>
      </c>
      <c r="AO65" s="197" t="s">
        <v>2166</v>
      </c>
      <c r="AP65" s="198">
        <v>80.8</v>
      </c>
      <c r="AQ65">
        <v>3</v>
      </c>
      <c r="AR65">
        <v>1.9</v>
      </c>
      <c r="AS65">
        <v>3</v>
      </c>
      <c r="AT65">
        <v>0.45</v>
      </c>
      <c r="AU65">
        <v>6.1</v>
      </c>
      <c r="AV65">
        <v>39</v>
      </c>
      <c r="AW65">
        <v>2.2999999999999998</v>
      </c>
      <c r="AY65" s="38">
        <f t="shared" si="0"/>
        <v>64</v>
      </c>
      <c r="AZ65" s="25" t="b">
        <f t="shared" si="1"/>
        <v>0</v>
      </c>
      <c r="BA65" s="25" t="b">
        <f t="shared" si="2"/>
        <v>0</v>
      </c>
      <c r="BB65" s="25">
        <f t="shared" si="3"/>
        <v>64</v>
      </c>
      <c r="BC65" s="25" t="b">
        <f t="shared" si="4"/>
        <v>0</v>
      </c>
      <c r="BR65" s="7" t="s">
        <v>881</v>
      </c>
      <c r="BS65" s="30">
        <f>BS58*BS64</f>
        <v>0.54087581306333021</v>
      </c>
      <c r="BW65" s="33"/>
      <c r="BX65" s="33"/>
      <c r="BY65" s="33"/>
      <c r="BZ65" s="33"/>
      <c r="CA65" s="33"/>
      <c r="CR65" s="44"/>
      <c r="ER65" s="25"/>
      <c r="ES65" s="25"/>
      <c r="ET65" s="25"/>
      <c r="EU65" s="25"/>
      <c r="EV65" s="25"/>
      <c r="EW65" s="25"/>
      <c r="EX65" s="25"/>
      <c r="EY65" s="25"/>
      <c r="EZ65" s="25"/>
      <c r="FA65" s="25"/>
      <c r="FB65" s="25"/>
    </row>
    <row r="66" spans="13:223" ht="16.05" customHeight="1">
      <c r="M66" s="5" t="str">
        <f t="shared" si="8"/>
        <v>Szerszámköltség (€)</v>
      </c>
      <c r="N66" s="34" t="s">
        <v>1910</v>
      </c>
      <c r="O66" s="34" t="s">
        <v>1939</v>
      </c>
      <c r="P66" s="34" t="s">
        <v>1843</v>
      </c>
      <c r="Q66" s="34" t="s">
        <v>1944</v>
      </c>
      <c r="R66" s="34" t="s">
        <v>1834</v>
      </c>
      <c r="S66" s="34" t="s">
        <v>1839</v>
      </c>
      <c r="T66" s="34" t="s">
        <v>1934</v>
      </c>
      <c r="U66" s="34" t="s">
        <v>1969</v>
      </c>
      <c r="V66" s="34" t="s">
        <v>1949</v>
      </c>
      <c r="W66" s="34" t="s">
        <v>2001</v>
      </c>
      <c r="X66" s="34" t="s">
        <v>1974</v>
      </c>
      <c r="Y66" s="140" t="s">
        <v>1979</v>
      </c>
      <c r="Z66" s="34" t="s">
        <v>1984</v>
      </c>
      <c r="AA66" s="34" t="s">
        <v>2011</v>
      </c>
      <c r="AB66" s="34" t="s">
        <v>1989</v>
      </c>
      <c r="AC66" s="34" t="s">
        <v>2016</v>
      </c>
      <c r="AD66" s="34" t="s">
        <v>1823</v>
      </c>
      <c r="AE66" s="34" t="s">
        <v>1994</v>
      </c>
      <c r="AF66" s="90" t="s">
        <v>2006</v>
      </c>
      <c r="AG66" s="81" t="s">
        <v>1955</v>
      </c>
      <c r="AH66" s="81" t="s">
        <v>1956</v>
      </c>
      <c r="AI66" s="34" t="s">
        <v>1964</v>
      </c>
      <c r="AK66" s="4">
        <v>65</v>
      </c>
      <c r="AL66" s="4">
        <v>6</v>
      </c>
      <c r="AM66" s="4">
        <v>2</v>
      </c>
      <c r="AN66" s="4">
        <v>1</v>
      </c>
      <c r="AO66" s="197" t="s">
        <v>2167</v>
      </c>
      <c r="AP66" s="198">
        <v>80.8</v>
      </c>
      <c r="AQ66">
        <v>3</v>
      </c>
      <c r="AR66">
        <v>1.9</v>
      </c>
      <c r="AS66">
        <v>3</v>
      </c>
      <c r="AT66">
        <v>0.45</v>
      </c>
      <c r="AU66">
        <v>4.2</v>
      </c>
      <c r="AV66">
        <v>39</v>
      </c>
      <c r="AW66">
        <v>2.2999999999999998</v>
      </c>
      <c r="AY66" s="38">
        <f t="shared" ref="AY66:AY129" si="33">IF(C$10&gt;=AW66,AK66)</f>
        <v>65</v>
      </c>
      <c r="AZ66" s="25" t="b">
        <f t="shared" ref="AZ66:AZ129" si="34">IF(C$11=AT66,AK66)</f>
        <v>0</v>
      </c>
      <c r="BA66" s="25" t="b">
        <f t="shared" ref="BA66:BA129" si="35">IF(C$12&lt;=AU66,AK66)</f>
        <v>0</v>
      </c>
      <c r="BB66" s="25">
        <f t="shared" ref="BB66:BB129" si="36">IF(AN66=BT$10,AK66)</f>
        <v>65</v>
      </c>
      <c r="BC66" s="25" t="b">
        <f t="shared" ref="BC66:BC129" si="37">IF(AY66=FALSE,FALSE,IF(AZ66=FALSE,FALSE,IF(BA66=FALSE,FALSE,IF(BB66=FALSE,FALSE,AK66))))</f>
        <v>0</v>
      </c>
      <c r="BX66"/>
      <c r="CD66" s="39">
        <v>21</v>
      </c>
      <c r="CE66" s="45">
        <f ca="1">LOOKUP(CB$54,CF$5:DP$5,CF66:DP66)</f>
        <v>0</v>
      </c>
      <c r="CF66" s="45"/>
      <c r="CJ66" s="44" t="str">
        <f>CONCATENATE(CD66,DR106,DS106,DT106)</f>
        <v>21 L IZ+102.5 FMAX</v>
      </c>
      <c r="CL66" s="44" t="str">
        <f>CONCATENATE(CD66,ER133,ES133,ET133)</f>
        <v>21 L IZ-2.5 FMAX</v>
      </c>
      <c r="CP66" s="44" t="str">
        <f>CONCATENATE(CD66,DR97,DS97,DT97)</f>
        <v>21 CC IX-2.5 IY+0</v>
      </c>
      <c r="CQ66" s="4" t="str">
        <f>CK57</f>
        <v>G03 X-2.5 Y2.5 Z0.25 I-2.5 J0.</v>
      </c>
      <c r="CR66" s="44" t="str">
        <f>CONCATENATE(CD66,ER124,ES124,ET124)</f>
        <v>21 CC IX-2.393 IY+0</v>
      </c>
      <c r="CU66" s="44" t="str">
        <f>CI39</f>
        <v>G03 X-2.5 Y2.5 Z0.25 I-2.5 J0.</v>
      </c>
      <c r="CV66" s="44" t="str">
        <f>CONCATENATE(CD66,FE85)</f>
        <v>21 FN 0: Q2 =+0</v>
      </c>
      <c r="CW66" s="44" t="str">
        <f>CK39</f>
        <v>G03 X-2.393 Y2.393 Z0.25 I-2.393 J0.</v>
      </c>
      <c r="CX66" s="127" t="str">
        <f>CV66</f>
        <v>21 FN 0: Q2 =+0</v>
      </c>
      <c r="DB66" s="127" t="str">
        <f>CONCATENATE(CD66,DR88,DS88,DT88)</f>
        <v>21 CP IPA+90 IZ+0.25 DR+</v>
      </c>
      <c r="DC66" s="44" t="str">
        <f ca="1">CY12</f>
        <v>G01 G41 X2.5 Y-2.5 F129</v>
      </c>
      <c r="DD66" s="127" t="str">
        <f>DB66</f>
        <v>21 CP IPA+90 IZ+0.25 DR+</v>
      </c>
      <c r="DG66" s="44" t="str">
        <f>DE30</f>
        <v>G13.1</v>
      </c>
      <c r="DI66" s="44" t="str">
        <f>DH48</f>
        <v>G13.1</v>
      </c>
      <c r="DJ66" s="44" t="str">
        <f>DG57</f>
        <v>G03 X0. C0. Z2. I-5. J0.</v>
      </c>
      <c r="DL66" s="44" t="str">
        <f>CU63</f>
        <v>END2</v>
      </c>
      <c r="DM66" s="44" t="str">
        <f>DL66</f>
        <v>END2</v>
      </c>
      <c r="DO66" s="44" t="str">
        <f>DN39</f>
        <v>G13.1</v>
      </c>
      <c r="DP66" s="44" t="str">
        <f>DG30</f>
        <v>G00 Z-2.5</v>
      </c>
    </row>
    <row r="67" spans="13:223" ht="16.05" customHeight="1">
      <c r="M67" s="5" t="str">
        <f>LOOKUP(L$27,N$2:AI$2,N67:AI67)</f>
        <v>Szerszám éltartam (perc)</v>
      </c>
      <c r="N67" s="34" t="s">
        <v>1911</v>
      </c>
      <c r="O67" s="34" t="s">
        <v>1940</v>
      </c>
      <c r="P67" s="34" t="s">
        <v>1999</v>
      </c>
      <c r="Q67" s="34" t="s">
        <v>1945</v>
      </c>
      <c r="R67" s="34" t="s">
        <v>1835</v>
      </c>
      <c r="S67" s="34" t="s">
        <v>1840</v>
      </c>
      <c r="T67" s="34" t="s">
        <v>1935</v>
      </c>
      <c r="U67" s="34" t="s">
        <v>1970</v>
      </c>
      <c r="V67" s="34" t="s">
        <v>1950</v>
      </c>
      <c r="W67" s="34" t="s">
        <v>2002</v>
      </c>
      <c r="X67" s="34" t="s">
        <v>1975</v>
      </c>
      <c r="Y67" s="140" t="s">
        <v>1980</v>
      </c>
      <c r="Z67" s="34" t="s">
        <v>1985</v>
      </c>
      <c r="AA67" s="34" t="s">
        <v>2012</v>
      </c>
      <c r="AB67" s="34" t="s">
        <v>1990</v>
      </c>
      <c r="AC67" s="34" t="s">
        <v>2017</v>
      </c>
      <c r="AD67" s="34" t="s">
        <v>1832</v>
      </c>
      <c r="AE67" s="34" t="s">
        <v>1995</v>
      </c>
      <c r="AF67" s="90" t="s">
        <v>2007</v>
      </c>
      <c r="AG67" s="81" t="s">
        <v>1957</v>
      </c>
      <c r="AH67" s="81" t="s">
        <v>1958</v>
      </c>
      <c r="AI67" s="34" t="s">
        <v>1965</v>
      </c>
      <c r="AK67" s="4">
        <v>66</v>
      </c>
      <c r="AL67" s="4">
        <v>6</v>
      </c>
      <c r="AM67" s="4">
        <v>2</v>
      </c>
      <c r="AN67" s="4">
        <v>1</v>
      </c>
      <c r="AO67" s="197" t="s">
        <v>2168</v>
      </c>
      <c r="AP67" s="198">
        <v>80.8</v>
      </c>
      <c r="AQ67">
        <v>3</v>
      </c>
      <c r="AR67">
        <v>1.6</v>
      </c>
      <c r="AS67">
        <v>3</v>
      </c>
      <c r="AT67">
        <v>0.45</v>
      </c>
      <c r="AU67">
        <v>5.4</v>
      </c>
      <c r="AV67">
        <v>39</v>
      </c>
      <c r="AW67">
        <v>2</v>
      </c>
      <c r="AY67" s="38">
        <f t="shared" si="33"/>
        <v>66</v>
      </c>
      <c r="AZ67" s="25" t="b">
        <f t="shared" si="34"/>
        <v>0</v>
      </c>
      <c r="BA67" s="25" t="b">
        <f t="shared" si="35"/>
        <v>0</v>
      </c>
      <c r="BB67" s="25">
        <f t="shared" si="36"/>
        <v>66</v>
      </c>
      <c r="BC67" s="25" t="b">
        <f t="shared" si="37"/>
        <v>0</v>
      </c>
      <c r="BR67" s="28">
        <v>0.03</v>
      </c>
      <c r="BS67" s="28">
        <v>0.5</v>
      </c>
      <c r="BW67" s="7" t="s">
        <v>631</v>
      </c>
      <c r="BX67" s="7" t="s">
        <v>805</v>
      </c>
      <c r="BY67" s="7" t="s">
        <v>538</v>
      </c>
      <c r="BZ67" s="7" t="s">
        <v>883</v>
      </c>
      <c r="CA67" s="7" t="s">
        <v>884</v>
      </c>
      <c r="CD67" s="39"/>
      <c r="CR67" s="44"/>
      <c r="FI67" s="49"/>
    </row>
    <row r="68" spans="13:223" ht="16.05" customHeight="1">
      <c r="M68" s="5" t="str">
        <f t="shared" ref="M68:M93" si="38">LOOKUP(L$27,N$2:AI$2,N68:AI68)</f>
        <v>d = maró átmérő (mm)</v>
      </c>
      <c r="N68" s="51" t="s">
        <v>1889</v>
      </c>
      <c r="O68" s="65" t="s">
        <v>1140</v>
      </c>
      <c r="P68" s="51" t="s">
        <v>867</v>
      </c>
      <c r="Q68" s="51" t="s">
        <v>1181</v>
      </c>
      <c r="R68" s="51" t="s">
        <v>866</v>
      </c>
      <c r="S68" s="34" t="s">
        <v>820</v>
      </c>
      <c r="T68" s="51" t="s">
        <v>1700</v>
      </c>
      <c r="U68" s="34" t="s">
        <v>496</v>
      </c>
      <c r="V68" s="51" t="s">
        <v>1193</v>
      </c>
      <c r="W68" s="51" t="s">
        <v>1762</v>
      </c>
      <c r="X68" s="51" t="s">
        <v>1417</v>
      </c>
      <c r="Y68" s="34" t="s">
        <v>1648</v>
      </c>
      <c r="Z68" s="34" t="s">
        <v>274</v>
      </c>
      <c r="AA68" s="34" t="s">
        <v>1159</v>
      </c>
      <c r="AB68" s="34" t="s">
        <v>718</v>
      </c>
      <c r="AC68" s="34" t="s">
        <v>100</v>
      </c>
      <c r="AD68" s="34" t="s">
        <v>736</v>
      </c>
      <c r="AE68" s="76" t="s">
        <v>1378</v>
      </c>
      <c r="AF68" s="34" t="s">
        <v>1608</v>
      </c>
      <c r="AG68" s="51" t="s">
        <v>453</v>
      </c>
      <c r="AH68" s="95" t="s">
        <v>213</v>
      </c>
      <c r="AI68" s="51" t="s">
        <v>238</v>
      </c>
      <c r="AK68" s="4">
        <v>67</v>
      </c>
      <c r="AL68" s="4">
        <v>6</v>
      </c>
      <c r="AM68" s="4">
        <v>2</v>
      </c>
      <c r="AN68" s="4">
        <v>1</v>
      </c>
      <c r="AO68" s="197" t="s">
        <v>2169</v>
      </c>
      <c r="AP68" s="198">
        <v>80.8</v>
      </c>
      <c r="AQ68">
        <v>3</v>
      </c>
      <c r="AR68">
        <v>1.6</v>
      </c>
      <c r="AS68">
        <v>3</v>
      </c>
      <c r="AT68">
        <v>0.45</v>
      </c>
      <c r="AU68">
        <v>3.8</v>
      </c>
      <c r="AV68">
        <v>39</v>
      </c>
      <c r="AW68">
        <v>2</v>
      </c>
      <c r="AY68" s="38">
        <f t="shared" si="33"/>
        <v>67</v>
      </c>
      <c r="AZ68" s="25" t="b">
        <f t="shared" si="34"/>
        <v>0</v>
      </c>
      <c r="BA68" s="25" t="b">
        <f t="shared" si="35"/>
        <v>0</v>
      </c>
      <c r="BB68" s="25">
        <f t="shared" si="36"/>
        <v>67</v>
      </c>
      <c r="BC68" s="25" t="b">
        <f t="shared" si="37"/>
        <v>0</v>
      </c>
      <c r="BR68" s="28">
        <v>0.25</v>
      </c>
      <c r="BS68" s="28">
        <f t="shared" ref="BS68:BS82" si="39">BS69*0.97</f>
        <v>0.63325118913678924</v>
      </c>
      <c r="BW68" s="25">
        <v>1</v>
      </c>
      <c r="BX68" s="25">
        <f>ROUND(C10-(2*0.5*BK51),2)</f>
        <v>18.920000000000002</v>
      </c>
      <c r="BY68" s="40">
        <f>ROUND((BX68-BM$13)/4,3)</f>
        <v>2.23</v>
      </c>
      <c r="BZ68" s="25">
        <f ca="1">ROUND(C$29*(BX68-BM$13)/BX68,0)</f>
        <v>122</v>
      </c>
      <c r="CA68" s="29">
        <f ca="1">278*BX68/C$29</f>
        <v>20.386666666666667</v>
      </c>
      <c r="CR68" s="44"/>
      <c r="FI68" s="47"/>
    </row>
    <row r="69" spans="13:223" ht="16.05" customHeight="1">
      <c r="M69" s="5" t="str">
        <f t="shared" si="38"/>
        <v>l = maró él hossz (mm)</v>
      </c>
      <c r="N69" s="51" t="s">
        <v>1890</v>
      </c>
      <c r="O69" s="65" t="s">
        <v>1059</v>
      </c>
      <c r="P69" s="34" t="s">
        <v>971</v>
      </c>
      <c r="Q69" s="51" t="s">
        <v>1182</v>
      </c>
      <c r="R69" s="51" t="s">
        <v>912</v>
      </c>
      <c r="S69" s="34" t="s">
        <v>670</v>
      </c>
      <c r="T69" s="51" t="s">
        <v>1701</v>
      </c>
      <c r="U69" s="34" t="s">
        <v>497</v>
      </c>
      <c r="V69" s="51" t="s">
        <v>1194</v>
      </c>
      <c r="W69" s="51" t="s">
        <v>1763</v>
      </c>
      <c r="X69" s="51" t="s">
        <v>1419</v>
      </c>
      <c r="Y69" s="34" t="s">
        <v>1649</v>
      </c>
      <c r="Z69" s="34" t="s">
        <v>275</v>
      </c>
      <c r="AA69" s="34" t="s">
        <v>1160</v>
      </c>
      <c r="AB69" s="34" t="s">
        <v>719</v>
      </c>
      <c r="AC69" s="34" t="s">
        <v>11</v>
      </c>
      <c r="AD69" s="34" t="s">
        <v>847</v>
      </c>
      <c r="AE69" s="76" t="s">
        <v>1379</v>
      </c>
      <c r="AF69" s="34" t="s">
        <v>1609</v>
      </c>
      <c r="AG69" s="51" t="s">
        <v>454</v>
      </c>
      <c r="AH69" s="95" t="s">
        <v>214</v>
      </c>
      <c r="AI69" s="51" t="s">
        <v>256</v>
      </c>
      <c r="AK69" s="4">
        <v>68</v>
      </c>
      <c r="AL69" s="4">
        <v>6</v>
      </c>
      <c r="AM69" s="4">
        <v>2</v>
      </c>
      <c r="AN69" s="4">
        <v>1</v>
      </c>
      <c r="AO69" s="197" t="s">
        <v>2170</v>
      </c>
      <c r="AP69" s="198">
        <v>80.8</v>
      </c>
      <c r="AQ69">
        <v>3</v>
      </c>
      <c r="AR69">
        <v>1.5</v>
      </c>
      <c r="AS69">
        <v>3</v>
      </c>
      <c r="AT69">
        <v>0.4</v>
      </c>
      <c r="AU69">
        <v>5</v>
      </c>
      <c r="AV69">
        <v>39</v>
      </c>
      <c r="AW69">
        <v>1.8</v>
      </c>
      <c r="AY69" s="38">
        <f t="shared" si="33"/>
        <v>68</v>
      </c>
      <c r="AZ69" s="25" t="b">
        <f t="shared" si="34"/>
        <v>0</v>
      </c>
      <c r="BA69" s="25" t="b">
        <f t="shared" si="35"/>
        <v>0</v>
      </c>
      <c r="BB69" s="25">
        <f t="shared" si="36"/>
        <v>68</v>
      </c>
      <c r="BC69" s="25" t="b">
        <f t="shared" si="37"/>
        <v>0</v>
      </c>
      <c r="BR69" s="28">
        <v>0.26</v>
      </c>
      <c r="BS69" s="28">
        <f t="shared" si="39"/>
        <v>0.65283627746060746</v>
      </c>
      <c r="BW69" s="25">
        <v>2</v>
      </c>
      <c r="BX69" s="25">
        <f>ROUND(C10-(2*0.2*BK51),2)</f>
        <v>19.57</v>
      </c>
      <c r="BY69" s="40">
        <f>ROUND((BX69-BM$13)/4,3)</f>
        <v>2.3929999999999998</v>
      </c>
      <c r="BZ69" s="25">
        <f ca="1">ROUND(C$29*(BX69-BM$13)/BX69,0)</f>
        <v>126</v>
      </c>
      <c r="CA69" s="29">
        <f ca="1">278*BX69/C$29</f>
        <v>21.087054263565893</v>
      </c>
      <c r="CD69" s="39">
        <v>22</v>
      </c>
      <c r="CE69" s="45">
        <f ca="1">LOOKUP(CB$54,CF$5:DP$5,CF69:DP69)</f>
        <v>0</v>
      </c>
      <c r="CF69" s="45"/>
      <c r="CL69" s="44" t="str">
        <f ca="1">CONCATENATE(CD69,DR82,DS82,DT82,DU82,DV82,DW82)</f>
        <v>22 L IX+2.5 IY-2.5 RL F129</v>
      </c>
      <c r="CP69" s="44" t="str">
        <f>CONCATENATE(CD69,DR100,DS100,DT100)</f>
        <v>22 CP IPA+90 IZ+0.25 DR+</v>
      </c>
      <c r="CQ69" s="4" t="str">
        <f>CK60</f>
        <v>G01 G40 X-2.5 Y-2.5</v>
      </c>
      <c r="CR69" s="44" t="str">
        <f>CONCATENATE(CD69,DR100,DS100,DT100)</f>
        <v>22 CP IPA+90 IZ+0.25 DR+</v>
      </c>
      <c r="CU69" s="44" t="str">
        <f>CI42</f>
        <v>G01 G40 X-2.5 Y-2.5</v>
      </c>
      <c r="CV69" s="44" t="str">
        <f>CONCATENATE(CD69,FO136)</f>
        <v>22 LBL 102</v>
      </c>
      <c r="CW69" s="44" t="str">
        <f>CK42</f>
        <v>G01 G40 X-2.393 Y-2.393</v>
      </c>
      <c r="CX69" s="127" t="str">
        <f>CV69</f>
        <v>22 LBL 102</v>
      </c>
      <c r="DB69" s="127" t="str">
        <f>CONCATENATE(CD69,DR91,GB18,FT91,GD18)</f>
        <v>22 CC IX-5 IY+0.016</v>
      </c>
      <c r="DC69" s="44" t="str">
        <f>CY15</f>
        <v>G03 X2.5 Y2.5 Z0.25 I0. J2.5</v>
      </c>
      <c r="DD69" s="127" t="str">
        <f>CONCATENATE(CD69,DR91,HB45,FT91,HD45)</f>
        <v>22 CC IX-4.786 IY+0.016</v>
      </c>
      <c r="DG69" s="44" t="str">
        <f>DE33</f>
        <v>G00 Z102.5</v>
      </c>
      <c r="DI69" s="44" t="str">
        <f>DH51</f>
        <v>G00 Z75.</v>
      </c>
      <c r="DJ69" s="44" t="str">
        <f>DG60</f>
        <v>G03 X-2.5 C2.5 Z0.25 I-2.5 J0.</v>
      </c>
      <c r="DL69" s="44" t="str">
        <f>DF42</f>
        <v>G03 X-2.5 C2.5 Z0.25 I-2.5 J0.</v>
      </c>
      <c r="DM69" s="44" t="str">
        <f>DG42</f>
        <v>G03 X-2.393 C2.393 Z0.25 I-2.393 J0.</v>
      </c>
      <c r="DO69" s="44" t="str">
        <f>DN42</f>
        <v>G00 Z102.5</v>
      </c>
      <c r="DP69" s="44" t="str">
        <f ca="1">DN15</f>
        <v>G01 G41 X2.5 C-2.5 F129</v>
      </c>
      <c r="FI69" s="47"/>
    </row>
    <row r="70" spans="13:223" ht="16.05" customHeight="1">
      <c r="M70" s="5" t="str">
        <f t="shared" si="38"/>
        <v>z = maró fogszám</v>
      </c>
      <c r="N70" s="51" t="s">
        <v>1891</v>
      </c>
      <c r="O70" s="65" t="s">
        <v>1060</v>
      </c>
      <c r="P70" s="51" t="s">
        <v>650</v>
      </c>
      <c r="Q70" s="51" t="s">
        <v>1183</v>
      </c>
      <c r="R70" s="51" t="s">
        <v>651</v>
      </c>
      <c r="S70" s="34" t="s">
        <v>684</v>
      </c>
      <c r="T70" s="51" t="s">
        <v>1702</v>
      </c>
      <c r="U70" s="34" t="s">
        <v>498</v>
      </c>
      <c r="V70" s="51" t="s">
        <v>1143</v>
      </c>
      <c r="W70" s="51" t="s">
        <v>1764</v>
      </c>
      <c r="X70" s="51" t="s">
        <v>1420</v>
      </c>
      <c r="Y70" s="34" t="s">
        <v>1650</v>
      </c>
      <c r="Z70" s="34" t="s">
        <v>276</v>
      </c>
      <c r="AA70" s="34" t="s">
        <v>1406</v>
      </c>
      <c r="AB70" s="34" t="s">
        <v>720</v>
      </c>
      <c r="AC70" s="34" t="s">
        <v>12</v>
      </c>
      <c r="AD70" s="34" t="s">
        <v>787</v>
      </c>
      <c r="AE70" s="76" t="s">
        <v>1380</v>
      </c>
      <c r="AF70" s="34" t="s">
        <v>1610</v>
      </c>
      <c r="AG70" s="51" t="s">
        <v>455</v>
      </c>
      <c r="AH70" s="95" t="s">
        <v>215</v>
      </c>
      <c r="AI70" s="51" t="s">
        <v>257</v>
      </c>
      <c r="AK70" s="4">
        <v>69</v>
      </c>
      <c r="AL70" s="4">
        <v>6</v>
      </c>
      <c r="AM70" s="4">
        <v>2</v>
      </c>
      <c r="AN70" s="4">
        <v>1</v>
      </c>
      <c r="AO70" s="197" t="s">
        <v>2171</v>
      </c>
      <c r="AP70" s="198">
        <v>80.8</v>
      </c>
      <c r="AQ70">
        <v>3</v>
      </c>
      <c r="AR70">
        <v>1.5</v>
      </c>
      <c r="AS70">
        <v>3</v>
      </c>
      <c r="AT70">
        <v>0.4</v>
      </c>
      <c r="AU70">
        <v>3.4</v>
      </c>
      <c r="AV70">
        <v>39</v>
      </c>
      <c r="AW70">
        <v>1.8</v>
      </c>
      <c r="AY70" s="38">
        <f t="shared" si="33"/>
        <v>69</v>
      </c>
      <c r="AZ70" s="25" t="b">
        <f t="shared" si="34"/>
        <v>0</v>
      </c>
      <c r="BA70" s="25" t="b">
        <f t="shared" si="35"/>
        <v>0</v>
      </c>
      <c r="BB70" s="25">
        <f t="shared" si="36"/>
        <v>69</v>
      </c>
      <c r="BC70" s="25" t="b">
        <f t="shared" si="37"/>
        <v>0</v>
      </c>
      <c r="BR70" s="28">
        <v>0.28000000000000003</v>
      </c>
      <c r="BS70" s="28">
        <f t="shared" si="39"/>
        <v>0.67302709016557472</v>
      </c>
      <c r="BW70" s="25">
        <v>3</v>
      </c>
      <c r="BX70" s="25">
        <f>C10</f>
        <v>20</v>
      </c>
      <c r="BY70" s="40">
        <f>ROUND((BX70-BM$13)/4,3)</f>
        <v>2.5</v>
      </c>
      <c r="BZ70" s="25">
        <f ca="1">ROUND(C$29*(BX70-BM$13)/BX70,0)</f>
        <v>129</v>
      </c>
      <c r="CA70" s="29">
        <f ca="1">278*BX70/C$29</f>
        <v>21.550387596899224</v>
      </c>
      <c r="CR70" s="44"/>
      <c r="DR70" s="46"/>
      <c r="DS70" s="46"/>
      <c r="DT70" s="46"/>
      <c r="DU70" s="46"/>
      <c r="DV70" s="46"/>
      <c r="DW70" s="46"/>
      <c r="DX70" s="46"/>
      <c r="DY70" s="46"/>
      <c r="DZ70" s="46"/>
      <c r="EA70" s="46"/>
      <c r="EB70" s="46"/>
      <c r="EC70" s="48"/>
      <c r="EE70" s="48"/>
      <c r="EF70" s="48"/>
      <c r="EG70" s="48"/>
      <c r="EH70" s="48"/>
      <c r="EI70" s="48"/>
      <c r="EJ70" s="48"/>
      <c r="EK70" s="48"/>
      <c r="EL70" s="48"/>
      <c r="EM70" s="48"/>
      <c r="EN70" s="48"/>
      <c r="EO70" s="48"/>
      <c r="EP70" s="46"/>
      <c r="ER70" s="46"/>
      <c r="ES70" s="46"/>
      <c r="ET70" s="46"/>
      <c r="EU70" s="46"/>
      <c r="EV70" s="46"/>
      <c r="EW70" s="46"/>
      <c r="EX70" s="46"/>
      <c r="EY70" s="46"/>
      <c r="EZ70" s="46"/>
      <c r="FA70" s="46"/>
      <c r="FB70" s="46"/>
      <c r="FC70" s="46"/>
      <c r="FE70" s="125"/>
      <c r="FF70" s="125"/>
      <c r="FG70" s="125"/>
      <c r="FH70" s="125"/>
      <c r="FJ70" s="46"/>
      <c r="FK70" s="46"/>
      <c r="FL70" s="46"/>
      <c r="FM70" s="46"/>
      <c r="FO70" s="22"/>
      <c r="FP70" s="22"/>
      <c r="FQ70" s="22"/>
      <c r="FR70" s="22"/>
      <c r="FT70" s="22"/>
      <c r="FU70" s="22"/>
      <c r="FV70" s="22"/>
      <c r="FW70" s="22"/>
      <c r="FX70" s="22"/>
      <c r="FY70" s="22"/>
      <c r="FZ70" s="22"/>
      <c r="GA70" s="22"/>
      <c r="GB70" s="22"/>
      <c r="GC70" s="22"/>
      <c r="GD70" s="22"/>
      <c r="GE70" s="22"/>
      <c r="GG70" s="22"/>
      <c r="GH70" s="22"/>
      <c r="GI70" s="22"/>
      <c r="GJ70" s="22"/>
      <c r="GK70" s="22"/>
      <c r="GL70" s="22"/>
      <c r="GM70" s="22"/>
      <c r="GN70" s="22"/>
      <c r="GO70" s="22"/>
      <c r="GP70" s="22"/>
      <c r="GQ70" s="22"/>
      <c r="GR70" s="22"/>
      <c r="GT70" s="22"/>
      <c r="GU70" s="22"/>
      <c r="GV70" s="22"/>
      <c r="GW70" s="22"/>
      <c r="GX70" s="22"/>
      <c r="GY70" s="22"/>
      <c r="GZ70" s="22"/>
      <c r="HA70" s="22"/>
      <c r="HB70" s="22"/>
      <c r="HC70" s="22"/>
      <c r="HD70" s="22"/>
      <c r="HE70" s="22"/>
      <c r="HG70" s="22"/>
      <c r="HI70" s="22"/>
      <c r="HK70" s="22"/>
      <c r="HM70" s="22"/>
      <c r="HO70" s="22"/>
    </row>
    <row r="71" spans="13:223" ht="16.05" customHeight="1">
      <c r="M71" s="5" t="str">
        <f t="shared" si="38"/>
        <v>V = forgácsoló sebesség (m/min)</v>
      </c>
      <c r="N71" s="51" t="s">
        <v>1892</v>
      </c>
      <c r="O71" s="65" t="s">
        <v>1061</v>
      </c>
      <c r="P71" s="51" t="s">
        <v>665</v>
      </c>
      <c r="Q71" s="51" t="s">
        <v>1184</v>
      </c>
      <c r="R71" s="51" t="s">
        <v>741</v>
      </c>
      <c r="S71" s="34" t="s">
        <v>848</v>
      </c>
      <c r="T71" s="51" t="s">
        <v>1703</v>
      </c>
      <c r="U71" s="34" t="s">
        <v>411</v>
      </c>
      <c r="V71" s="51" t="s">
        <v>1216</v>
      </c>
      <c r="W71" s="51" t="s">
        <v>1765</v>
      </c>
      <c r="X71" s="51" t="s">
        <v>1421</v>
      </c>
      <c r="Y71" s="34" t="s">
        <v>1651</v>
      </c>
      <c r="Z71" s="34" t="s">
        <v>277</v>
      </c>
      <c r="AA71" s="34" t="s">
        <v>1407</v>
      </c>
      <c r="AB71" s="34" t="s">
        <v>613</v>
      </c>
      <c r="AC71" s="34" t="s">
        <v>13</v>
      </c>
      <c r="AD71" s="34" t="s">
        <v>849</v>
      </c>
      <c r="AE71" s="76" t="s">
        <v>1381</v>
      </c>
      <c r="AF71" s="34" t="s">
        <v>1611</v>
      </c>
      <c r="AG71" s="51" t="s">
        <v>456</v>
      </c>
      <c r="AH71" s="95" t="s">
        <v>1815</v>
      </c>
      <c r="AI71" s="51" t="s">
        <v>220</v>
      </c>
      <c r="AK71" s="4">
        <v>70</v>
      </c>
      <c r="AL71" s="4">
        <v>3</v>
      </c>
      <c r="AM71" s="4">
        <v>3</v>
      </c>
      <c r="AN71" s="4">
        <v>1</v>
      </c>
      <c r="AO71" s="197" t="s">
        <v>2172</v>
      </c>
      <c r="AP71" s="198">
        <v>313.89999999999998</v>
      </c>
      <c r="AQ71">
        <v>14</v>
      </c>
      <c r="AR71">
        <v>9</v>
      </c>
      <c r="AS71">
        <v>3</v>
      </c>
      <c r="AT71">
        <v>1.75</v>
      </c>
      <c r="AU71">
        <v>32.369999999999997</v>
      </c>
      <c r="AV71">
        <v>89</v>
      </c>
      <c r="AW71">
        <v>11.6</v>
      </c>
      <c r="AY71" s="38">
        <f t="shared" si="33"/>
        <v>70</v>
      </c>
      <c r="AZ71" s="25" t="b">
        <f t="shared" si="34"/>
        <v>0</v>
      </c>
      <c r="BA71" s="25">
        <f t="shared" si="35"/>
        <v>70</v>
      </c>
      <c r="BB71" s="25">
        <f t="shared" si="36"/>
        <v>70</v>
      </c>
      <c r="BC71" s="25" t="b">
        <f t="shared" si="37"/>
        <v>0</v>
      </c>
      <c r="BR71" s="28">
        <v>0.28999999999999998</v>
      </c>
      <c r="BS71" s="28">
        <f t="shared" si="39"/>
        <v>0.69384236099543783</v>
      </c>
      <c r="BW71" s="25"/>
      <c r="BY71" s="25"/>
      <c r="BZ71" s="25"/>
      <c r="CA71" s="42">
        <f ca="1">ROUND(CA68+CA69+CA70,0)</f>
        <v>63</v>
      </c>
      <c r="CR71" s="44"/>
      <c r="DQ71" s="48"/>
      <c r="DR71" s="25"/>
      <c r="DS71" s="25"/>
      <c r="DT71" s="25"/>
      <c r="DU71" s="25"/>
      <c r="DV71" s="25"/>
      <c r="DW71" s="25"/>
      <c r="EQ71" s="48"/>
      <c r="ER71" s="25"/>
      <c r="ES71" s="25"/>
      <c r="ET71" s="25"/>
      <c r="EU71" s="25"/>
      <c r="EV71" s="25"/>
      <c r="EW71" s="25"/>
    </row>
    <row r="72" spans="13:223" ht="16.05" customHeight="1">
      <c r="M72" s="5" t="str">
        <f t="shared" si="38"/>
        <v>Fz = fogankénti előtolás (mm/fog)</v>
      </c>
      <c r="N72" s="51" t="s">
        <v>1893</v>
      </c>
      <c r="O72" s="65" t="s">
        <v>1062</v>
      </c>
      <c r="P72" s="51" t="s">
        <v>738</v>
      </c>
      <c r="Q72" s="51" t="s">
        <v>1205</v>
      </c>
      <c r="R72" s="51" t="s">
        <v>951</v>
      </c>
      <c r="S72" s="51" t="s">
        <v>963</v>
      </c>
      <c r="T72" s="51" t="s">
        <v>1704</v>
      </c>
      <c r="U72" s="34" t="s">
        <v>412</v>
      </c>
      <c r="V72" s="51" t="s">
        <v>1217</v>
      </c>
      <c r="W72" s="51" t="s">
        <v>1766</v>
      </c>
      <c r="X72" s="51" t="s">
        <v>1422</v>
      </c>
      <c r="Y72" s="34" t="s">
        <v>1575</v>
      </c>
      <c r="Z72" s="34" t="s">
        <v>278</v>
      </c>
      <c r="AA72" s="34" t="s">
        <v>1476</v>
      </c>
      <c r="AB72" s="34" t="s">
        <v>618</v>
      </c>
      <c r="AC72" s="34" t="s">
        <v>14</v>
      </c>
      <c r="AD72" s="34" t="s">
        <v>850</v>
      </c>
      <c r="AE72" s="76" t="s">
        <v>1382</v>
      </c>
      <c r="AF72" s="34" t="s">
        <v>1612</v>
      </c>
      <c r="AG72" s="51" t="s">
        <v>457</v>
      </c>
      <c r="AH72" s="95" t="s">
        <v>94</v>
      </c>
      <c r="AI72" s="51" t="s">
        <v>221</v>
      </c>
      <c r="AK72" s="4">
        <v>71</v>
      </c>
      <c r="AL72" s="4">
        <v>3</v>
      </c>
      <c r="AM72" s="4">
        <v>3</v>
      </c>
      <c r="AN72" s="4">
        <v>1</v>
      </c>
      <c r="AO72" s="197" t="s">
        <v>2173</v>
      </c>
      <c r="AP72" s="198">
        <v>285.60000000000002</v>
      </c>
      <c r="AQ72">
        <v>14</v>
      </c>
      <c r="AR72">
        <v>9</v>
      </c>
      <c r="AS72">
        <v>3</v>
      </c>
      <c r="AT72">
        <v>1.75</v>
      </c>
      <c r="AU72">
        <v>27.12</v>
      </c>
      <c r="AV72">
        <v>89</v>
      </c>
      <c r="AW72">
        <v>11.6</v>
      </c>
      <c r="AY72" s="38">
        <f t="shared" si="33"/>
        <v>71</v>
      </c>
      <c r="AZ72" s="25" t="b">
        <f t="shared" si="34"/>
        <v>0</v>
      </c>
      <c r="BA72" s="25">
        <f t="shared" si="35"/>
        <v>71</v>
      </c>
      <c r="BB72" s="25">
        <f t="shared" si="36"/>
        <v>71</v>
      </c>
      <c r="BC72" s="25" t="b">
        <f t="shared" si="37"/>
        <v>0</v>
      </c>
      <c r="BR72" s="28">
        <v>0.31</v>
      </c>
      <c r="BS72" s="28">
        <f t="shared" si="39"/>
        <v>0.71530140308808021</v>
      </c>
      <c r="BX72"/>
      <c r="CD72" s="39">
        <v>23</v>
      </c>
      <c r="CE72" s="45">
        <f ca="1">LOOKUP(CB$54,CF$5:DP$5,CF72:DP72)</f>
        <v>0</v>
      </c>
      <c r="CF72" s="45"/>
      <c r="CL72" s="44" t="str">
        <f>CONCATENATE(CD72,DR85,DS85)</f>
        <v>23 CC IX+0 IY+2.5</v>
      </c>
      <c r="CP72" s="44" t="str">
        <f>CONCATENATE(CD72,DR103,DS103,DT103,DU103,DV103)</f>
        <v>23 L IX-2.5 IY-2.5 R0</v>
      </c>
      <c r="CQ72" s="4" t="str">
        <f>CM36</f>
        <v>G00 Z27.5</v>
      </c>
      <c r="CR72" s="44" t="str">
        <f>CONCATENATE(CD72,ER130,ES130,ET130,EU130,EV130)</f>
        <v>23 L IX-2.393 IY-2.393 R0</v>
      </c>
      <c r="CU72" s="44" t="str">
        <f>CS42</f>
        <v>G00 Z78.5</v>
      </c>
      <c r="CV72" s="44" t="str">
        <f>CONCATENATE(CD72,DR91,DS91,DT91)</f>
        <v>23 CC IX-5 IY+0</v>
      </c>
      <c r="CW72" s="44" t="str">
        <f>CW42</f>
        <v>G00 Z-26.5</v>
      </c>
      <c r="CX72" s="127" t="str">
        <f>CONCATENATE(CD72,ER118,ES118,ET118)</f>
        <v>23 CC IX-4.786 IY+0</v>
      </c>
      <c r="DB72" s="127" t="str">
        <f>CONCATENATE(CD72,DR88,FZ18,DT88)</f>
        <v>23 CP IPA+90 IZ+0.5 DR+</v>
      </c>
      <c r="DC72" s="44" t="str">
        <f>CY18</f>
        <v>G03 X-5. Y5.016 Z0.5 I-5. J0.016</v>
      </c>
      <c r="DD72" s="127" t="str">
        <f>DB72</f>
        <v>23 CP IPA+90 IZ+0.5 DR+</v>
      </c>
      <c r="DJ72" s="44" t="str">
        <f>DG63</f>
        <v>G01 G40 X-2.5 C-2.5</v>
      </c>
      <c r="DL72" s="44" t="str">
        <f>DF45</f>
        <v>G01 G40 X-2.5 C-2.5</v>
      </c>
      <c r="DM72" s="44" t="str">
        <f>DG45</f>
        <v>G01 G40 X-2.393 C-2.393</v>
      </c>
      <c r="DP72" s="44" t="str">
        <f>DN18</f>
        <v>G03 X2.5 C2.5 Z0.25 I0. J2.5</v>
      </c>
      <c r="DQ72" s="49"/>
      <c r="DR72" s="41" t="s">
        <v>1538</v>
      </c>
      <c r="DS72" s="18"/>
      <c r="DT72" s="18"/>
      <c r="DU72" s="18"/>
      <c r="DV72" s="18"/>
      <c r="DW72" s="18"/>
      <c r="ED72" s="49"/>
      <c r="EE72" s="41" t="s">
        <v>1537</v>
      </c>
      <c r="EF72" s="18"/>
      <c r="EG72" s="18"/>
      <c r="EH72" s="18"/>
      <c r="EI72" s="18"/>
      <c r="EJ72" s="18"/>
      <c r="EQ72" s="49"/>
      <c r="ER72" s="41" t="s">
        <v>1536</v>
      </c>
      <c r="ES72" s="18"/>
      <c r="ET72" s="18"/>
      <c r="EU72" s="18"/>
      <c r="EV72" s="18"/>
      <c r="EW72" s="18"/>
      <c r="FE72" s="119" t="s">
        <v>1535</v>
      </c>
      <c r="FJ72" s="41" t="s">
        <v>21</v>
      </c>
      <c r="FO72" s="41" t="s">
        <v>23</v>
      </c>
      <c r="FT72" s="41" t="s">
        <v>1595</v>
      </c>
    </row>
    <row r="73" spans="13:223" ht="16.05" customHeight="1">
      <c r="M73" s="5" t="str">
        <f t="shared" si="38"/>
        <v>Fogások száma, radiális (max 3)</v>
      </c>
      <c r="N73" s="51" t="s">
        <v>1894</v>
      </c>
      <c r="O73" s="65" t="s">
        <v>1063</v>
      </c>
      <c r="P73" s="34" t="s">
        <v>1020</v>
      </c>
      <c r="Q73" s="51" t="s">
        <v>1206</v>
      </c>
      <c r="R73" s="51" t="s">
        <v>555</v>
      </c>
      <c r="S73" s="34" t="s">
        <v>844</v>
      </c>
      <c r="T73" s="51" t="s">
        <v>1705</v>
      </c>
      <c r="U73" s="34" t="s">
        <v>413</v>
      </c>
      <c r="V73" s="51" t="s">
        <v>1107</v>
      </c>
      <c r="W73" s="51" t="s">
        <v>1767</v>
      </c>
      <c r="X73" s="51" t="s">
        <v>1423</v>
      </c>
      <c r="Y73" s="34" t="s">
        <v>1576</v>
      </c>
      <c r="Z73" s="34" t="s">
        <v>297</v>
      </c>
      <c r="AA73" s="34" t="s">
        <v>1324</v>
      </c>
      <c r="AB73" s="34" t="s">
        <v>619</v>
      </c>
      <c r="AC73" s="34" t="s">
        <v>15</v>
      </c>
      <c r="AD73" s="34" t="s">
        <v>838</v>
      </c>
      <c r="AE73" s="76" t="s">
        <v>1385</v>
      </c>
      <c r="AF73" s="90" t="s">
        <v>1409</v>
      </c>
      <c r="AG73" s="80" t="s">
        <v>458</v>
      </c>
      <c r="AH73" s="94" t="s">
        <v>95</v>
      </c>
      <c r="AI73" s="86" t="s">
        <v>222</v>
      </c>
      <c r="AK73" s="4">
        <v>72</v>
      </c>
      <c r="AL73" s="4">
        <v>3</v>
      </c>
      <c r="AM73" s="4">
        <v>3</v>
      </c>
      <c r="AN73" s="4">
        <v>1</v>
      </c>
      <c r="AO73" s="197" t="s">
        <v>2174</v>
      </c>
      <c r="AP73" s="198">
        <v>259.60000000000002</v>
      </c>
      <c r="AQ73">
        <v>14</v>
      </c>
      <c r="AR73">
        <v>9</v>
      </c>
      <c r="AS73">
        <v>3</v>
      </c>
      <c r="AT73">
        <v>1.75</v>
      </c>
      <c r="AU73">
        <v>20.12</v>
      </c>
      <c r="AV73">
        <v>89</v>
      </c>
      <c r="AW73">
        <v>11.6</v>
      </c>
      <c r="AY73" s="38">
        <f t="shared" si="33"/>
        <v>72</v>
      </c>
      <c r="AZ73" s="25" t="b">
        <f t="shared" si="34"/>
        <v>0</v>
      </c>
      <c r="BA73" s="25" t="b">
        <f t="shared" si="35"/>
        <v>0</v>
      </c>
      <c r="BB73" s="25">
        <f t="shared" si="36"/>
        <v>72</v>
      </c>
      <c r="BC73" s="25" t="b">
        <f t="shared" si="37"/>
        <v>0</v>
      </c>
      <c r="BR73" s="28">
        <v>0.33</v>
      </c>
      <c r="BS73" s="28">
        <f t="shared" si="39"/>
        <v>0.73742412689492809</v>
      </c>
      <c r="BX73"/>
      <c r="CD73" s="39"/>
      <c r="CR73" s="44"/>
      <c r="DQ73" s="49">
        <v>1</v>
      </c>
      <c r="DR73" s="25" t="s">
        <v>1482</v>
      </c>
      <c r="DS73" s="6">
        <f>C28</f>
        <v>2642</v>
      </c>
      <c r="DT73" s="6"/>
      <c r="DU73" s="18"/>
      <c r="DV73" s="18"/>
      <c r="DW73" s="18"/>
      <c r="ED73" s="49"/>
      <c r="EF73" s="6"/>
      <c r="EG73" s="6"/>
      <c r="EH73" s="18"/>
      <c r="EI73" s="18"/>
      <c r="EJ73" s="18"/>
      <c r="EQ73" s="49"/>
      <c r="ER73" s="25"/>
      <c r="ES73" s="6"/>
      <c r="ET73" s="6"/>
      <c r="EU73" s="18"/>
      <c r="EV73" s="18"/>
      <c r="EW73" s="18"/>
    </row>
    <row r="74" spans="13:223" ht="16.05" customHeight="1">
      <c r="M74" s="5" t="str">
        <f t="shared" si="38"/>
        <v>Fogások száma, axiális</v>
      </c>
      <c r="N74" s="51" t="s">
        <v>1895</v>
      </c>
      <c r="O74" s="65" t="s">
        <v>1064</v>
      </c>
      <c r="P74" s="34" t="s">
        <v>1025</v>
      </c>
      <c r="Q74" s="51" t="s">
        <v>1113</v>
      </c>
      <c r="R74" s="51" t="s">
        <v>556</v>
      </c>
      <c r="S74" s="34" t="s">
        <v>845</v>
      </c>
      <c r="T74" s="51" t="s">
        <v>1706</v>
      </c>
      <c r="U74" s="34" t="s">
        <v>414</v>
      </c>
      <c r="V74" s="51" t="s">
        <v>1108</v>
      </c>
      <c r="W74" s="51" t="s">
        <v>1768</v>
      </c>
      <c r="X74" s="51" t="s">
        <v>1424</v>
      </c>
      <c r="Y74" s="34" t="s">
        <v>1577</v>
      </c>
      <c r="Z74" s="34" t="s">
        <v>298</v>
      </c>
      <c r="AA74" s="34" t="s">
        <v>1325</v>
      </c>
      <c r="AB74" s="34" t="s">
        <v>620</v>
      </c>
      <c r="AC74" s="34" t="s">
        <v>80</v>
      </c>
      <c r="AD74" s="34" t="s">
        <v>851</v>
      </c>
      <c r="AE74" s="76" t="s">
        <v>1386</v>
      </c>
      <c r="AF74" s="90" t="s">
        <v>1613</v>
      </c>
      <c r="AG74" s="80" t="s">
        <v>441</v>
      </c>
      <c r="AH74" s="94" t="s">
        <v>96</v>
      </c>
      <c r="AI74" s="86" t="s">
        <v>223</v>
      </c>
      <c r="AK74" s="4">
        <v>73</v>
      </c>
      <c r="AL74" s="4">
        <v>3</v>
      </c>
      <c r="AM74" s="4">
        <v>3</v>
      </c>
      <c r="AN74" s="4">
        <v>1</v>
      </c>
      <c r="AO74" s="197" t="s">
        <v>2175</v>
      </c>
      <c r="AP74" s="198">
        <v>263.5</v>
      </c>
      <c r="AQ74">
        <v>12</v>
      </c>
      <c r="AR74">
        <v>7.5</v>
      </c>
      <c r="AS74">
        <v>3</v>
      </c>
      <c r="AT74">
        <v>1.5</v>
      </c>
      <c r="AU74">
        <v>27.75</v>
      </c>
      <c r="AV74">
        <v>83</v>
      </c>
      <c r="AW74">
        <v>9.6</v>
      </c>
      <c r="AY74" s="38">
        <f t="shared" si="33"/>
        <v>73</v>
      </c>
      <c r="AZ74" s="25" t="b">
        <f t="shared" si="34"/>
        <v>0</v>
      </c>
      <c r="BA74" s="25">
        <f t="shared" si="35"/>
        <v>73</v>
      </c>
      <c r="BB74" s="25">
        <f t="shared" si="36"/>
        <v>73</v>
      </c>
      <c r="BC74" s="25" t="b">
        <f t="shared" si="37"/>
        <v>0</v>
      </c>
      <c r="BR74" s="28">
        <v>0.36</v>
      </c>
      <c r="BS74" s="28">
        <f t="shared" si="39"/>
        <v>0.76023105865456508</v>
      </c>
      <c r="BX74"/>
      <c r="CR74" s="44"/>
      <c r="DQ74" s="49"/>
      <c r="DR74" s="18"/>
      <c r="DS74" s="18"/>
      <c r="DT74" s="18"/>
      <c r="DU74" s="18"/>
      <c r="DV74" s="18"/>
      <c r="DW74" s="18"/>
      <c r="ED74" s="49"/>
      <c r="EE74" s="18"/>
      <c r="EF74" s="18"/>
      <c r="EG74" s="18"/>
      <c r="EH74" s="18"/>
      <c r="EI74" s="18"/>
      <c r="EJ74" s="18"/>
      <c r="EQ74" s="49"/>
      <c r="ER74" s="18"/>
      <c r="ES74" s="18"/>
      <c r="ET74" s="18"/>
      <c r="EU74" s="18"/>
      <c r="EV74" s="18"/>
      <c r="EW74" s="18"/>
    </row>
    <row r="75" spans="13:223" ht="16.05" customHeight="1">
      <c r="M75" s="5" t="str">
        <f t="shared" si="38"/>
        <v>N = orsó fordulatszám (fordulat/min)</v>
      </c>
      <c r="N75" s="51" t="s">
        <v>1896</v>
      </c>
      <c r="O75" s="65" t="s">
        <v>1007</v>
      </c>
      <c r="P75" s="51" t="s">
        <v>789</v>
      </c>
      <c r="Q75" s="51" t="s">
        <v>1114</v>
      </c>
      <c r="R75" s="51" t="s">
        <v>903</v>
      </c>
      <c r="S75" s="34" t="s">
        <v>964</v>
      </c>
      <c r="T75" s="51" t="s">
        <v>1707</v>
      </c>
      <c r="U75" s="34" t="s">
        <v>415</v>
      </c>
      <c r="V75" s="51" t="s">
        <v>1109</v>
      </c>
      <c r="W75" s="51" t="s">
        <v>1769</v>
      </c>
      <c r="X75" s="51" t="s">
        <v>1244</v>
      </c>
      <c r="Y75" s="34" t="s">
        <v>1578</v>
      </c>
      <c r="Z75" s="34" t="s">
        <v>299</v>
      </c>
      <c r="AA75" s="34" t="s">
        <v>1326</v>
      </c>
      <c r="AB75" s="34" t="s">
        <v>621</v>
      </c>
      <c r="AC75" s="34" t="s">
        <v>16</v>
      </c>
      <c r="AD75" s="34" t="s">
        <v>852</v>
      </c>
      <c r="AE75" s="76" t="s">
        <v>1387</v>
      </c>
      <c r="AF75" s="34" t="s">
        <v>1614</v>
      </c>
      <c r="AG75" s="51" t="s">
        <v>442</v>
      </c>
      <c r="AH75" s="95" t="s">
        <v>171</v>
      </c>
      <c r="AI75" s="51" t="s">
        <v>224</v>
      </c>
      <c r="AK75" s="4">
        <v>74</v>
      </c>
      <c r="AL75" s="4">
        <v>3</v>
      </c>
      <c r="AM75" s="4">
        <v>3</v>
      </c>
      <c r="AN75" s="4">
        <v>1</v>
      </c>
      <c r="AO75" s="197" t="s">
        <v>2176</v>
      </c>
      <c r="AP75" s="198">
        <v>239.7</v>
      </c>
      <c r="AQ75">
        <v>12</v>
      </c>
      <c r="AR75">
        <v>7.5</v>
      </c>
      <c r="AS75">
        <v>3</v>
      </c>
      <c r="AT75">
        <v>1.5</v>
      </c>
      <c r="AU75">
        <v>21.75</v>
      </c>
      <c r="AV75">
        <v>83</v>
      </c>
      <c r="AW75">
        <v>9.6</v>
      </c>
      <c r="AY75" s="38">
        <f t="shared" si="33"/>
        <v>74</v>
      </c>
      <c r="AZ75" s="25" t="b">
        <f t="shared" si="34"/>
        <v>0</v>
      </c>
      <c r="BA75" s="25" t="b">
        <f t="shared" si="35"/>
        <v>0</v>
      </c>
      <c r="BB75" s="25">
        <f t="shared" si="36"/>
        <v>74</v>
      </c>
      <c r="BC75" s="25" t="b">
        <f t="shared" si="37"/>
        <v>0</v>
      </c>
      <c r="BR75" s="28">
        <v>0.38</v>
      </c>
      <c r="BS75" s="28">
        <f t="shared" si="39"/>
        <v>0.78374335943769602</v>
      </c>
      <c r="BX75"/>
      <c r="CD75" s="39">
        <v>24</v>
      </c>
      <c r="CE75" s="45">
        <f ca="1">LOOKUP(CB$54,CF$5:DP$5,CF75:DP75)</f>
        <v>0</v>
      </c>
      <c r="CF75" s="45"/>
      <c r="CL75" s="44" t="str">
        <f>CONCATENATE(CD75,DR88,DS88,DT88)</f>
        <v>24 CP IPA+90 IZ+0.25 DR+</v>
      </c>
      <c r="CP75" s="44" t="str">
        <f>CONCATENATE(CD75,DR106,FF115,DT106)</f>
        <v>24 L IZ+27.5 FMAX</v>
      </c>
      <c r="CQ75" s="4" t="str">
        <f>CM39</f>
        <v>#2=#2+1</v>
      </c>
      <c r="CR75" s="44" t="str">
        <f>CONCATENATE(CD75,ER133,ES133,ET133)</f>
        <v>24 L IZ-2.5 FMAX</v>
      </c>
      <c r="CV75" s="44" t="str">
        <f>CONCATENATE(CD75,DR94,DS94,DT94)</f>
        <v>24 CP IPA+360 IZ+2 DR+</v>
      </c>
      <c r="CW75" s="44" t="str">
        <f ca="1">CK48</f>
        <v>G01 G41 X2.5 Y-2.5 F129</v>
      </c>
      <c r="CX75" s="127" t="str">
        <f>CV75</f>
        <v>24 CP IPA+360 IZ+2 DR+</v>
      </c>
      <c r="DB75" s="127" t="str">
        <f>CONCATENATE(CD75,DR91,GB21,DT82,GD21)</f>
        <v>24 CC IX-0.016 IY-5.016</v>
      </c>
      <c r="DC75" s="44" t="str">
        <f>CY21</f>
        <v>G03 X-5.032 Y-5.016 Z0.5 I-0.016 J-5.016</v>
      </c>
      <c r="DD75" s="127" t="str">
        <f>CONCATENATE(CD75,DR91,HB48,DT82,HD48)</f>
        <v>24 CC IX-0.016 IY-4.802</v>
      </c>
      <c r="DJ75" s="44" t="str">
        <f>DH39</f>
        <v>G00 Z27.5</v>
      </c>
      <c r="DL75" s="44" t="str">
        <f>DK45</f>
        <v>G13.1</v>
      </c>
      <c r="DM75" s="44" t="str">
        <f>DM45</f>
        <v>G00 Z-26.5</v>
      </c>
      <c r="DP75" s="44" t="str">
        <f>DN21</f>
        <v>G03 X-5. C5.016 Z0.5 I-5. J0.016</v>
      </c>
      <c r="DQ75" s="48"/>
      <c r="DR75" s="25"/>
      <c r="DS75" s="25"/>
      <c r="DT75" s="25"/>
      <c r="DU75" s="25"/>
      <c r="DV75" s="25"/>
      <c r="DW75" s="25"/>
      <c r="EQ75" s="48"/>
      <c r="ER75" s="25"/>
      <c r="ES75" s="25"/>
      <c r="ET75" s="25"/>
      <c r="EU75" s="25"/>
      <c r="EV75" s="25"/>
      <c r="EW75" s="25"/>
    </row>
    <row r="76" spans="13:223" ht="16.05" customHeight="1">
      <c r="M76" s="5" t="str">
        <f t="shared" si="38"/>
        <v>FD = előtolás a menetátmérőnél (mm/min)</v>
      </c>
      <c r="N76" s="51" t="s">
        <v>1897</v>
      </c>
      <c r="O76" s="65" t="s">
        <v>1008</v>
      </c>
      <c r="P76" s="51" t="s">
        <v>735</v>
      </c>
      <c r="Q76" s="51" t="s">
        <v>1115</v>
      </c>
      <c r="R76" s="51" t="s">
        <v>920</v>
      </c>
      <c r="S76" s="34" t="s">
        <v>674</v>
      </c>
      <c r="T76" s="51" t="s">
        <v>1708</v>
      </c>
      <c r="U76" s="34" t="s">
        <v>416</v>
      </c>
      <c r="V76" s="51" t="s">
        <v>1165</v>
      </c>
      <c r="W76" s="51" t="s">
        <v>1770</v>
      </c>
      <c r="X76" s="51" t="s">
        <v>1245</v>
      </c>
      <c r="Y76" s="34" t="s">
        <v>1579</v>
      </c>
      <c r="Z76" s="34" t="s">
        <v>300</v>
      </c>
      <c r="AA76" s="34" t="s">
        <v>1394</v>
      </c>
      <c r="AB76" s="34" t="s">
        <v>622</v>
      </c>
      <c r="AC76" s="34" t="s">
        <v>17</v>
      </c>
      <c r="AD76" s="34" t="s">
        <v>746</v>
      </c>
      <c r="AE76" s="76" t="s">
        <v>1388</v>
      </c>
      <c r="AF76" s="34" t="s">
        <v>1615</v>
      </c>
      <c r="AG76" s="51" t="s">
        <v>443</v>
      </c>
      <c r="AH76" s="95" t="s">
        <v>172</v>
      </c>
      <c r="AI76" s="51" t="s">
        <v>225</v>
      </c>
      <c r="AK76" s="4">
        <v>75</v>
      </c>
      <c r="AL76" s="4">
        <v>3</v>
      </c>
      <c r="AM76" s="4">
        <v>3</v>
      </c>
      <c r="AN76" s="4">
        <v>1</v>
      </c>
      <c r="AO76" s="197" t="s">
        <v>2177</v>
      </c>
      <c r="AP76" s="198">
        <v>217.7</v>
      </c>
      <c r="AQ76">
        <v>12</v>
      </c>
      <c r="AR76">
        <v>7.5</v>
      </c>
      <c r="AS76">
        <v>3</v>
      </c>
      <c r="AT76">
        <v>1.5</v>
      </c>
      <c r="AU76">
        <v>17.25</v>
      </c>
      <c r="AV76">
        <v>83</v>
      </c>
      <c r="AW76">
        <v>9.6</v>
      </c>
      <c r="AY76" s="38">
        <f t="shared" si="33"/>
        <v>75</v>
      </c>
      <c r="AZ76" s="25" t="b">
        <f t="shared" si="34"/>
        <v>0</v>
      </c>
      <c r="BA76" s="25" t="b">
        <f t="shared" si="35"/>
        <v>0</v>
      </c>
      <c r="BB76" s="25">
        <f t="shared" si="36"/>
        <v>75</v>
      </c>
      <c r="BC76" s="25" t="b">
        <f t="shared" si="37"/>
        <v>0</v>
      </c>
      <c r="BR76" s="28">
        <v>0.42</v>
      </c>
      <c r="BS76" s="28">
        <f t="shared" si="39"/>
        <v>0.80798284478112992</v>
      </c>
      <c r="BX76"/>
      <c r="CR76" s="44"/>
      <c r="DQ76" s="49">
        <v>2</v>
      </c>
      <c r="DR76" s="25" t="s">
        <v>1483</v>
      </c>
      <c r="DS76" s="25"/>
      <c r="DT76" s="25"/>
      <c r="DU76" s="25"/>
      <c r="DV76" s="25"/>
      <c r="DW76" s="25"/>
      <c r="ED76" s="49"/>
      <c r="EQ76" s="49"/>
      <c r="ER76" s="25"/>
      <c r="ES76" s="25"/>
      <c r="ET76" s="25"/>
      <c r="EU76" s="25"/>
      <c r="EV76" s="25"/>
      <c r="EW76" s="25"/>
    </row>
    <row r="77" spans="13:223" ht="16.05" customHeight="1">
      <c r="M77" s="5" t="str">
        <f t="shared" si="38"/>
        <v>Fd = előtolás a maró központjánál (mm/min)</v>
      </c>
      <c r="N77" s="51" t="s">
        <v>1898</v>
      </c>
      <c r="O77" s="65" t="s">
        <v>1009</v>
      </c>
      <c r="P77" s="51" t="s">
        <v>1100</v>
      </c>
      <c r="Q77" s="51" t="s">
        <v>1116</v>
      </c>
      <c r="R77" s="51" t="s">
        <v>949</v>
      </c>
      <c r="S77" s="34" t="s">
        <v>786</v>
      </c>
      <c r="T77" s="51" t="s">
        <v>1709</v>
      </c>
      <c r="U77" s="34" t="s">
        <v>427</v>
      </c>
      <c r="V77" s="51" t="s">
        <v>1049</v>
      </c>
      <c r="W77" s="51" t="s">
        <v>1771</v>
      </c>
      <c r="X77" s="51" t="s">
        <v>1246</v>
      </c>
      <c r="Y77" s="34" t="s">
        <v>1580</v>
      </c>
      <c r="Z77" s="34" t="s">
        <v>301</v>
      </c>
      <c r="AA77" s="34" t="s">
        <v>1395</v>
      </c>
      <c r="AB77" s="34" t="s">
        <v>623</v>
      </c>
      <c r="AC77" s="34" t="s">
        <v>18</v>
      </c>
      <c r="AD77" s="34" t="s">
        <v>887</v>
      </c>
      <c r="AE77" s="76" t="s">
        <v>1389</v>
      </c>
      <c r="AF77" s="34" t="s">
        <v>1462</v>
      </c>
      <c r="AG77" s="51" t="s">
        <v>347</v>
      </c>
      <c r="AH77" s="95" t="s">
        <v>173</v>
      </c>
      <c r="AI77" s="51" t="s">
        <v>226</v>
      </c>
      <c r="AK77" s="4">
        <v>76</v>
      </c>
      <c r="AL77" s="4">
        <v>3</v>
      </c>
      <c r="AM77" s="4">
        <v>3</v>
      </c>
      <c r="AN77" s="4">
        <v>1</v>
      </c>
      <c r="AO77" s="197" t="s">
        <v>2178</v>
      </c>
      <c r="AP77" s="198">
        <v>238.5</v>
      </c>
      <c r="AQ77">
        <v>10</v>
      </c>
      <c r="AR77">
        <v>6</v>
      </c>
      <c r="AS77">
        <v>3</v>
      </c>
      <c r="AT77">
        <v>1.25</v>
      </c>
      <c r="AU77">
        <v>21.87</v>
      </c>
      <c r="AV77">
        <v>76</v>
      </c>
      <c r="AW77">
        <v>7.8</v>
      </c>
      <c r="AY77" s="38">
        <f t="shared" si="33"/>
        <v>76</v>
      </c>
      <c r="AZ77" s="25" t="b">
        <f t="shared" si="34"/>
        <v>0</v>
      </c>
      <c r="BA77" s="25" t="b">
        <f t="shared" si="35"/>
        <v>0</v>
      </c>
      <c r="BB77" s="25">
        <f t="shared" si="36"/>
        <v>76</v>
      </c>
      <c r="BC77" s="25" t="b">
        <f t="shared" si="37"/>
        <v>0</v>
      </c>
      <c r="BR77" s="28">
        <v>0.45</v>
      </c>
      <c r="BS77" s="28">
        <f t="shared" si="39"/>
        <v>0.83297200492899992</v>
      </c>
      <c r="BX77"/>
      <c r="CR77" s="44"/>
      <c r="DQ77" s="49"/>
      <c r="DR77" s="25"/>
      <c r="DS77" s="18"/>
      <c r="DT77" s="25"/>
      <c r="DU77" s="25"/>
      <c r="DV77" s="25"/>
      <c r="DW77" s="25"/>
      <c r="ED77" s="49"/>
      <c r="EF77" s="18"/>
      <c r="EQ77" s="49"/>
      <c r="ER77" s="25"/>
      <c r="ES77" s="18"/>
      <c r="ET77" s="25"/>
      <c r="EU77" s="25"/>
      <c r="EV77" s="25"/>
      <c r="EW77" s="25"/>
    </row>
    <row r="78" spans="13:223" ht="16.05" customHeight="1">
      <c r="M78" s="5" t="str">
        <f t="shared" si="38"/>
        <v>T = a menetmarás ideje (sec)</v>
      </c>
      <c r="N78" s="51" t="s">
        <v>1899</v>
      </c>
      <c r="O78" s="65" t="s">
        <v>1010</v>
      </c>
      <c r="P78" s="51" t="s">
        <v>1101</v>
      </c>
      <c r="Q78" s="51" t="s">
        <v>1121</v>
      </c>
      <c r="R78" s="51" t="s">
        <v>950</v>
      </c>
      <c r="S78" s="34" t="s">
        <v>760</v>
      </c>
      <c r="T78" s="51" t="s">
        <v>1710</v>
      </c>
      <c r="U78" s="34" t="s">
        <v>370</v>
      </c>
      <c r="V78" s="51" t="s">
        <v>1050</v>
      </c>
      <c r="W78" s="51" t="s">
        <v>1772</v>
      </c>
      <c r="X78" s="51" t="s">
        <v>1247</v>
      </c>
      <c r="Y78" s="34" t="s">
        <v>1477</v>
      </c>
      <c r="Z78" s="34" t="s">
        <v>302</v>
      </c>
      <c r="AA78" s="34" t="s">
        <v>1327</v>
      </c>
      <c r="AB78" s="34" t="s">
        <v>499</v>
      </c>
      <c r="AC78" s="34" t="s">
        <v>19</v>
      </c>
      <c r="AD78" s="34" t="s">
        <v>921</v>
      </c>
      <c r="AE78" s="76" t="s">
        <v>1414</v>
      </c>
      <c r="AF78" s="34" t="s">
        <v>1463</v>
      </c>
      <c r="AG78" s="51" t="s">
        <v>459</v>
      </c>
      <c r="AH78" s="95" t="s">
        <v>174</v>
      </c>
      <c r="AI78" s="51" t="s">
        <v>227</v>
      </c>
      <c r="AK78" s="4">
        <v>77</v>
      </c>
      <c r="AL78" s="4">
        <v>3</v>
      </c>
      <c r="AM78" s="4">
        <v>3</v>
      </c>
      <c r="AN78" s="4">
        <v>1</v>
      </c>
      <c r="AO78" s="197" t="s">
        <v>2179</v>
      </c>
      <c r="AP78" s="198">
        <v>216.7</v>
      </c>
      <c r="AQ78">
        <v>10</v>
      </c>
      <c r="AR78">
        <v>6</v>
      </c>
      <c r="AS78">
        <v>3</v>
      </c>
      <c r="AT78">
        <v>1.25</v>
      </c>
      <c r="AU78">
        <v>18.12</v>
      </c>
      <c r="AV78">
        <v>76</v>
      </c>
      <c r="AW78">
        <v>7.8</v>
      </c>
      <c r="AY78" s="38">
        <f t="shared" si="33"/>
        <v>77</v>
      </c>
      <c r="AZ78" s="25" t="b">
        <f t="shared" si="34"/>
        <v>0</v>
      </c>
      <c r="BA78" s="25" t="b">
        <f t="shared" si="35"/>
        <v>0</v>
      </c>
      <c r="BB78" s="25">
        <f t="shared" si="36"/>
        <v>77</v>
      </c>
      <c r="BC78" s="25" t="b">
        <f t="shared" si="37"/>
        <v>0</v>
      </c>
      <c r="BR78" s="28">
        <v>0.5</v>
      </c>
      <c r="BS78" s="28">
        <f t="shared" si="39"/>
        <v>0.8587340256999999</v>
      </c>
      <c r="CD78" s="39">
        <v>25</v>
      </c>
      <c r="CE78" s="45">
        <f ca="1">LOOKUP(CB$54,CF$5:DP$5,CF78:DP78)</f>
        <v>0</v>
      </c>
      <c r="CF78" s="45"/>
      <c r="CL78" s="44" t="str">
        <f>CONCATENATE(CD78,DR91,DS91,DT91)</f>
        <v>25 CC IX-5 IY+0</v>
      </c>
      <c r="CP78" s="44" t="str">
        <f>CONCATENATE(CD78,FE118)</f>
        <v>25 FN 1: Q2 =+Q2 + +1</v>
      </c>
      <c r="CQ78" s="4" t="str">
        <f>CM42</f>
        <v>END1</v>
      </c>
      <c r="CR78" s="44" t="str">
        <f ca="1">CONCATENATE(CD78,DR82,DS82,DT82,DU82,DV82,DW82)</f>
        <v>25 L IX+2.5 IY-2.5 RL F129</v>
      </c>
      <c r="CV78" s="44" t="str">
        <f>CONCATENATE(CD78,FE118)</f>
        <v>25 FN 1: Q2 =+Q2 + +1</v>
      </c>
      <c r="CW78" s="44" t="str">
        <f>CK51</f>
        <v>G03 X2.5 Y2.5 Z0.25 I0. J2.5</v>
      </c>
      <c r="CX78" s="127" t="str">
        <f>CV78</f>
        <v>25 FN 1: Q2 =+Q2 + +1</v>
      </c>
      <c r="DB78" s="127" t="str">
        <f>CONCATENATE(CD78,DR88,FZ21,DT88)</f>
        <v>25 CP IPA+90 IZ+0.5 DR+</v>
      </c>
      <c r="DC78" s="44" t="str">
        <f>CY24</f>
        <v>G03 X5.032 Y-5.048 Z0.5 I5.032 J-0.016</v>
      </c>
      <c r="DD78" s="127" t="str">
        <f>DB78</f>
        <v>25 CP IPA+90 IZ+0.5 DR+</v>
      </c>
      <c r="DJ78" s="44" t="str">
        <f>DH42</f>
        <v>#2=#2+1</v>
      </c>
      <c r="DL78" s="44" t="str">
        <f>DK48</f>
        <v>G00 Z78.5</v>
      </c>
      <c r="DM78" s="44" t="str">
        <f ca="1">DG51</f>
        <v>G01 G41 X2.5 C-2.5 F129</v>
      </c>
      <c r="DP78" s="44" t="str">
        <f>DN24</f>
        <v>G03 X-5.032 C-5.016 Z0.5 I-0.016 J-5.016</v>
      </c>
      <c r="DQ78" s="48"/>
      <c r="DR78" s="25"/>
      <c r="DS78" s="18">
        <f>-(C12+C13)</f>
        <v>-105</v>
      </c>
      <c r="DT78" s="25"/>
      <c r="DU78" s="25"/>
      <c r="DV78" s="25"/>
      <c r="DW78" s="25"/>
      <c r="EF78" s="18"/>
      <c r="EQ78" s="48"/>
      <c r="ER78" s="25"/>
      <c r="ES78" s="18"/>
      <c r="ET78" s="25"/>
      <c r="EU78" s="25"/>
      <c r="EV78" s="25"/>
      <c r="EW78" s="25"/>
    </row>
    <row r="79" spans="13:223" ht="16.05" customHeight="1">
      <c r="M79" s="5" t="str">
        <f t="shared" si="38"/>
        <v>Egy menet szerszámköltsége (€)</v>
      </c>
      <c r="N79" s="34" t="s">
        <v>1912</v>
      </c>
      <c r="O79" s="34" t="s">
        <v>1941</v>
      </c>
      <c r="P79" s="34" t="s">
        <v>1844</v>
      </c>
      <c r="Q79" s="34" t="s">
        <v>1946</v>
      </c>
      <c r="R79" s="34" t="s">
        <v>1836</v>
      </c>
      <c r="S79" s="34" t="s">
        <v>1841</v>
      </c>
      <c r="T79" s="34" t="s">
        <v>1936</v>
      </c>
      <c r="U79" s="34" t="s">
        <v>1971</v>
      </c>
      <c r="V79" s="34" t="s">
        <v>1951</v>
      </c>
      <c r="W79" s="34" t="s">
        <v>2003</v>
      </c>
      <c r="X79" s="34" t="s">
        <v>1976</v>
      </c>
      <c r="Y79" s="34" t="s">
        <v>1981</v>
      </c>
      <c r="Z79" s="34" t="s">
        <v>1986</v>
      </c>
      <c r="AA79" s="34" t="s">
        <v>2013</v>
      </c>
      <c r="AB79" s="34" t="s">
        <v>1991</v>
      </c>
      <c r="AC79" s="34" t="s">
        <v>2018</v>
      </c>
      <c r="AD79" s="34" t="s">
        <v>1828</v>
      </c>
      <c r="AE79" s="34" t="s">
        <v>1996</v>
      </c>
      <c r="AF79" s="90" t="s">
        <v>2008</v>
      </c>
      <c r="AG79" s="81" t="s">
        <v>1959</v>
      </c>
      <c r="AH79" s="81" t="s">
        <v>1960</v>
      </c>
      <c r="AI79" s="34" t="s">
        <v>1966</v>
      </c>
      <c r="AK79" s="4">
        <v>78</v>
      </c>
      <c r="AL79" s="4">
        <v>3</v>
      </c>
      <c r="AM79" s="4">
        <v>3</v>
      </c>
      <c r="AN79" s="4">
        <v>1</v>
      </c>
      <c r="AO79" s="197" t="s">
        <v>2180</v>
      </c>
      <c r="AP79" s="198">
        <v>197.1</v>
      </c>
      <c r="AQ79">
        <v>10</v>
      </c>
      <c r="AR79">
        <v>6</v>
      </c>
      <c r="AS79">
        <v>3</v>
      </c>
      <c r="AT79">
        <v>1.25</v>
      </c>
      <c r="AU79">
        <v>14.37</v>
      </c>
      <c r="AV79">
        <v>76</v>
      </c>
      <c r="AW79">
        <v>7.8</v>
      </c>
      <c r="AY79" s="38">
        <f t="shared" si="33"/>
        <v>78</v>
      </c>
      <c r="AZ79" s="25" t="b">
        <f t="shared" si="34"/>
        <v>0</v>
      </c>
      <c r="BA79" s="25" t="b">
        <f t="shared" si="35"/>
        <v>0</v>
      </c>
      <c r="BB79" s="25">
        <f t="shared" si="36"/>
        <v>78</v>
      </c>
      <c r="BC79" s="25" t="b">
        <f t="shared" si="37"/>
        <v>0</v>
      </c>
      <c r="BR79" s="28">
        <v>0.56000000000000005</v>
      </c>
      <c r="BS79" s="28">
        <f t="shared" si="39"/>
        <v>0.88529280999999993</v>
      </c>
      <c r="CD79" s="39"/>
      <c r="CR79" s="44"/>
      <c r="DQ79" s="49">
        <v>3</v>
      </c>
      <c r="DR79" s="18" t="s">
        <v>1484</v>
      </c>
      <c r="DS79" s="18" t="str">
        <f>SUBSTITUTE(DS78,",",".")</f>
        <v>-105</v>
      </c>
      <c r="DT79" s="18" t="s">
        <v>826</v>
      </c>
      <c r="DU79" s="25"/>
      <c r="DV79" s="18"/>
      <c r="DW79" s="18"/>
      <c r="DX79" s="18"/>
      <c r="DY79" s="18"/>
      <c r="DZ79" s="18"/>
      <c r="EA79" s="18"/>
      <c r="EB79" s="18"/>
      <c r="ED79" s="49"/>
      <c r="EE79" s="18"/>
      <c r="EF79" s="18"/>
      <c r="EG79" s="18"/>
      <c r="EI79" s="18"/>
      <c r="EJ79" s="18"/>
      <c r="EQ79" s="49"/>
      <c r="ER79" s="18"/>
      <c r="ES79" s="18"/>
      <c r="ET79" s="18"/>
      <c r="EU79" s="25"/>
      <c r="EV79" s="18"/>
      <c r="EW79" s="18"/>
    </row>
    <row r="80" spans="13:223" ht="16.05" customHeight="1">
      <c r="M80" s="5" t="str">
        <f t="shared" si="38"/>
        <v>Egy menet teljes költsége (€)</v>
      </c>
      <c r="N80" s="34" t="s">
        <v>1913</v>
      </c>
      <c r="O80" s="34" t="s">
        <v>1942</v>
      </c>
      <c r="P80" s="34" t="s">
        <v>1845</v>
      </c>
      <c r="Q80" s="34" t="s">
        <v>1947</v>
      </c>
      <c r="R80" s="34" t="s">
        <v>1837</v>
      </c>
      <c r="S80" s="34" t="s">
        <v>1842</v>
      </c>
      <c r="T80" s="34" t="s">
        <v>1937</v>
      </c>
      <c r="U80" s="34" t="s">
        <v>1972</v>
      </c>
      <c r="V80" s="34" t="s">
        <v>1952</v>
      </c>
      <c r="W80" s="34" t="s">
        <v>2004</v>
      </c>
      <c r="X80" s="34" t="s">
        <v>1977</v>
      </c>
      <c r="Y80" s="140" t="s">
        <v>1982</v>
      </c>
      <c r="Z80" s="34" t="s">
        <v>1987</v>
      </c>
      <c r="AA80" s="34" t="s">
        <v>2014</v>
      </c>
      <c r="AB80" s="34" t="s">
        <v>1992</v>
      </c>
      <c r="AC80" s="34" t="s">
        <v>2019</v>
      </c>
      <c r="AD80" s="34" t="s">
        <v>1829</v>
      </c>
      <c r="AE80" s="34" t="s">
        <v>1997</v>
      </c>
      <c r="AF80" s="90" t="s">
        <v>2009</v>
      </c>
      <c r="AG80" s="34" t="s">
        <v>1961</v>
      </c>
      <c r="AH80" s="34" t="s">
        <v>1962</v>
      </c>
      <c r="AI80" s="34" t="s">
        <v>1967</v>
      </c>
      <c r="AK80" s="4">
        <v>79</v>
      </c>
      <c r="AL80" s="4">
        <v>3</v>
      </c>
      <c r="AM80" s="4">
        <v>3</v>
      </c>
      <c r="AN80" s="4">
        <v>1</v>
      </c>
      <c r="AO80" s="197" t="s">
        <v>2181</v>
      </c>
      <c r="AP80" s="198">
        <v>206</v>
      </c>
      <c r="AQ80">
        <v>8</v>
      </c>
      <c r="AR80">
        <v>4.5</v>
      </c>
      <c r="AS80">
        <v>3</v>
      </c>
      <c r="AT80">
        <v>1</v>
      </c>
      <c r="AU80">
        <v>16.5</v>
      </c>
      <c r="AV80">
        <v>63</v>
      </c>
      <c r="AW80">
        <v>5.8</v>
      </c>
      <c r="AY80" s="38">
        <f t="shared" si="33"/>
        <v>79</v>
      </c>
      <c r="AZ80" s="25" t="b">
        <f t="shared" si="34"/>
        <v>0</v>
      </c>
      <c r="BA80" s="25" t="b">
        <f t="shared" si="35"/>
        <v>0</v>
      </c>
      <c r="BB80" s="25">
        <f t="shared" si="36"/>
        <v>79</v>
      </c>
      <c r="BC80" s="25" t="b">
        <f t="shared" si="37"/>
        <v>0</v>
      </c>
      <c r="BR80" s="28">
        <v>0.63</v>
      </c>
      <c r="BS80" s="28">
        <f t="shared" si="39"/>
        <v>0.91267299999999996</v>
      </c>
      <c r="CR80" s="44"/>
      <c r="DQ80" s="49"/>
      <c r="DR80" s="18"/>
      <c r="DS80" s="18"/>
      <c r="DT80" s="18"/>
      <c r="DU80" s="18"/>
      <c r="DV80" s="18"/>
      <c r="DW80" s="18"/>
      <c r="DX80" s="18"/>
      <c r="DY80" s="18"/>
      <c r="DZ80" s="18"/>
      <c r="EA80" s="18"/>
      <c r="EB80" s="18"/>
      <c r="ED80" s="49"/>
      <c r="EE80" s="18"/>
      <c r="EF80" s="18"/>
      <c r="EG80" s="18"/>
      <c r="EH80" s="18"/>
      <c r="EI80" s="18"/>
      <c r="EJ80" s="18"/>
      <c r="EQ80" s="49"/>
      <c r="ER80" s="18"/>
      <c r="ES80" s="18"/>
      <c r="ET80" s="18"/>
      <c r="EU80" s="18"/>
      <c r="EV80" s="18"/>
      <c r="EW80" s="18"/>
    </row>
    <row r="81" spans="12:176" ht="16.05" customHeight="1">
      <c r="M81" s="5"/>
      <c r="N81" s="34"/>
      <c r="O81" s="65"/>
      <c r="AE81" s="76"/>
      <c r="AH81" s="95"/>
      <c r="AK81" s="4">
        <v>80</v>
      </c>
      <c r="AL81" s="4">
        <v>3</v>
      </c>
      <c r="AM81" s="4">
        <v>3</v>
      </c>
      <c r="AN81" s="4">
        <v>1</v>
      </c>
      <c r="AO81" s="197" t="s">
        <v>2182</v>
      </c>
      <c r="AP81" s="198">
        <v>187.3</v>
      </c>
      <c r="AQ81">
        <v>8</v>
      </c>
      <c r="AR81">
        <v>4.5</v>
      </c>
      <c r="AS81">
        <v>3</v>
      </c>
      <c r="AT81">
        <v>1</v>
      </c>
      <c r="AU81">
        <v>13.5</v>
      </c>
      <c r="AV81">
        <v>63</v>
      </c>
      <c r="AW81">
        <v>5.8</v>
      </c>
      <c r="AY81" s="38">
        <f t="shared" si="33"/>
        <v>80</v>
      </c>
      <c r="AZ81" s="25" t="b">
        <f t="shared" si="34"/>
        <v>0</v>
      </c>
      <c r="BA81" s="25" t="b">
        <f t="shared" si="35"/>
        <v>0</v>
      </c>
      <c r="BB81" s="25">
        <f t="shared" si="36"/>
        <v>80</v>
      </c>
      <c r="BC81" s="25" t="b">
        <f t="shared" si="37"/>
        <v>0</v>
      </c>
      <c r="BR81" s="28">
        <v>0.71</v>
      </c>
      <c r="BS81" s="28">
        <f t="shared" si="39"/>
        <v>0.94089999999999996</v>
      </c>
      <c r="CD81" s="39">
        <v>26</v>
      </c>
      <c r="CE81" s="45">
        <f ca="1">LOOKUP(CB$54,CF$5:DP$5,CF81:DP81)</f>
        <v>0</v>
      </c>
      <c r="CF81" s="45"/>
      <c r="CL81" s="44" t="str">
        <f>CONCATENATE(CD81,DR94,DS94,DT94)</f>
        <v>26 CP IPA+360 IZ+2 DR+</v>
      </c>
      <c r="CP81" s="44" t="str">
        <f>CONCATENATE(CD81,FE121)</f>
        <v>26 FN 12: IF +Q2 LT +Q1 GOTO LBL 101</v>
      </c>
      <c r="CQ81" s="4" t="str">
        <f>CM45</f>
        <v>G00 Z75.</v>
      </c>
      <c r="CR81" s="44" t="str">
        <f>CONCATENATE(CD81,DR85,DS85)</f>
        <v>26 CC IX+0 IY+2.5</v>
      </c>
      <c r="CV81" s="44" t="str">
        <f>CONCATENATE(CD81,FO148)</f>
        <v>26 FN 12: IF +Q2 LT +Q1 GOTO LBL 102</v>
      </c>
      <c r="CW81" s="44" t="str">
        <f>CW51</f>
        <v>#2=0</v>
      </c>
      <c r="CX81" s="127" t="str">
        <f>CV81</f>
        <v>26 FN 12: IF +Q2 LT +Q1 GOTO LBL 102</v>
      </c>
      <c r="DB81" s="127" t="str">
        <f>CONCATENATE(CD81,FT103,GB24,DT82,GD24)</f>
        <v>26 CC IX+5.032 IY-0.016</v>
      </c>
      <c r="DC81" s="44" t="str">
        <f>CY27</f>
        <v>G03 X5.064 Y5.048 Z0.5 I0.016 J5.048</v>
      </c>
      <c r="DD81" s="127" t="str">
        <f>CONCATENATE(CD81,FT103,HB51,DT82,HD51)</f>
        <v>26 CC IX+4.818 IY-0.016</v>
      </c>
      <c r="DJ81" s="44" t="str">
        <f>DH45</f>
        <v>END1</v>
      </c>
      <c r="DM81" s="44" t="str">
        <f>DG54</f>
        <v>G03 X2.5 C2.5 Z0.25 I0. J2.5</v>
      </c>
      <c r="DP81" s="44" t="str">
        <f>DN27</f>
        <v>G03 X5.032 C-5.048 Z0.5 I5.032 J-0.016</v>
      </c>
      <c r="DQ81" s="48"/>
      <c r="DR81" s="25"/>
      <c r="DS81" s="18">
        <f>BX57</f>
        <v>2.5</v>
      </c>
      <c r="DT81" s="25"/>
      <c r="DU81" s="18">
        <f>-BX57</f>
        <v>-2.5</v>
      </c>
      <c r="DV81" s="25"/>
      <c r="DW81" s="25"/>
      <c r="DX81" s="18"/>
      <c r="DY81" s="18"/>
      <c r="DZ81" s="18"/>
      <c r="EA81" s="18"/>
      <c r="EB81" s="18"/>
      <c r="EF81" s="18"/>
      <c r="EH81" s="18"/>
      <c r="EQ81" s="48"/>
      <c r="ER81" s="25"/>
      <c r="ES81" s="18"/>
      <c r="ET81" s="25"/>
      <c r="EU81" s="18"/>
      <c r="EV81" s="25"/>
      <c r="EW81" s="25"/>
    </row>
    <row r="82" spans="12:176" ht="16.05" customHeight="1">
      <c r="L82" s="18">
        <v>1</v>
      </c>
      <c r="M82" s="5" t="str">
        <f t="shared" si="38"/>
        <v>Fanuc CNC program</v>
      </c>
      <c r="N82" s="45" t="s">
        <v>1900</v>
      </c>
      <c r="O82" s="66" t="s">
        <v>1011</v>
      </c>
      <c r="P82" s="45" t="s">
        <v>955</v>
      </c>
      <c r="Q82" s="45" t="s">
        <v>1122</v>
      </c>
      <c r="R82" s="45" t="s">
        <v>989</v>
      </c>
      <c r="S82" s="45" t="s">
        <v>737</v>
      </c>
      <c r="T82" s="45" t="s">
        <v>1711</v>
      </c>
      <c r="U82" s="34" t="s">
        <v>371</v>
      </c>
      <c r="V82" s="45" t="s">
        <v>1051</v>
      </c>
      <c r="W82" s="45" t="s">
        <v>1773</v>
      </c>
      <c r="X82" s="45" t="s">
        <v>1248</v>
      </c>
      <c r="Y82" s="34" t="s">
        <v>1478</v>
      </c>
      <c r="Z82" s="45" t="s">
        <v>303</v>
      </c>
      <c r="AA82" s="34" t="s">
        <v>1328</v>
      </c>
      <c r="AB82" s="34" t="s">
        <v>500</v>
      </c>
      <c r="AC82" s="34" t="s">
        <v>503</v>
      </c>
      <c r="AD82" s="45" t="s">
        <v>813</v>
      </c>
      <c r="AE82" s="76" t="s">
        <v>1425</v>
      </c>
      <c r="AF82" s="90" t="s">
        <v>1464</v>
      </c>
      <c r="AG82" s="45" t="s">
        <v>460</v>
      </c>
      <c r="AH82" s="95" t="s">
        <v>175</v>
      </c>
      <c r="AI82" s="87" t="s">
        <v>245</v>
      </c>
      <c r="AK82" s="4">
        <v>81</v>
      </c>
      <c r="AL82" s="4">
        <v>3</v>
      </c>
      <c r="AM82" s="4">
        <v>3</v>
      </c>
      <c r="AN82" s="4">
        <v>1</v>
      </c>
      <c r="AO82" s="197" t="s">
        <v>2183</v>
      </c>
      <c r="AP82" s="198">
        <v>170.1</v>
      </c>
      <c r="AQ82">
        <v>8</v>
      </c>
      <c r="AR82">
        <v>4.5</v>
      </c>
      <c r="AS82">
        <v>3</v>
      </c>
      <c r="AT82">
        <v>1</v>
      </c>
      <c r="AU82">
        <v>10.5</v>
      </c>
      <c r="AV82">
        <v>63</v>
      </c>
      <c r="AW82">
        <v>5.8</v>
      </c>
      <c r="AY82" s="38">
        <f t="shared" si="33"/>
        <v>81</v>
      </c>
      <c r="AZ82" s="25" t="b">
        <f t="shared" si="34"/>
        <v>0</v>
      </c>
      <c r="BA82" s="25" t="b">
        <f t="shared" si="35"/>
        <v>0</v>
      </c>
      <c r="BB82" s="25">
        <f t="shared" si="36"/>
        <v>81</v>
      </c>
      <c r="BC82" s="25" t="b">
        <f t="shared" si="37"/>
        <v>0</v>
      </c>
      <c r="BR82" s="28">
        <v>0.83</v>
      </c>
      <c r="BS82" s="28">
        <f t="shared" si="39"/>
        <v>0.97</v>
      </c>
      <c r="CR82" s="44"/>
      <c r="DQ82" s="49">
        <v>4</v>
      </c>
      <c r="DR82" s="18" t="s">
        <v>1485</v>
      </c>
      <c r="DS82" s="18" t="str">
        <f>SUBSTITUTE(DS81,",",".")</f>
        <v>2.5</v>
      </c>
      <c r="DT82" s="18" t="s">
        <v>827</v>
      </c>
      <c r="DU82" s="18" t="str">
        <f>SUBSTITUTE(DU81,",",".")</f>
        <v>-2.5</v>
      </c>
      <c r="DV82" s="18" t="s">
        <v>1632</v>
      </c>
      <c r="DW82" s="6">
        <f ca="1">C30</f>
        <v>129</v>
      </c>
      <c r="DX82" s="18"/>
      <c r="DY82" s="18"/>
      <c r="DZ82" s="18"/>
      <c r="EA82" s="18"/>
      <c r="EB82" s="18"/>
      <c r="ED82" s="49">
        <v>4</v>
      </c>
      <c r="EE82" s="18" t="s">
        <v>1485</v>
      </c>
      <c r="EF82" s="18" t="str">
        <f>EH12</f>
        <v>2.323</v>
      </c>
      <c r="EG82" s="18" t="s">
        <v>827</v>
      </c>
      <c r="EH82" s="18" t="str">
        <f>EJ12</f>
        <v>-2.323</v>
      </c>
      <c r="EI82" s="18" t="s">
        <v>1632</v>
      </c>
      <c r="EJ82" s="6">
        <f ca="1">BZ62</f>
        <v>124</v>
      </c>
      <c r="EQ82" s="49">
        <v>4</v>
      </c>
      <c r="ER82" s="18" t="s">
        <v>1485</v>
      </c>
      <c r="ES82" s="18" t="str">
        <f>EU12</f>
        <v>2.23</v>
      </c>
      <c r="ET82" s="18" t="s">
        <v>827</v>
      </c>
      <c r="EU82" s="18" t="str">
        <f>EW12</f>
        <v>-2.23</v>
      </c>
      <c r="EV82" s="18" t="s">
        <v>1632</v>
      </c>
      <c r="EW82" s="6">
        <f ca="1">BZ68</f>
        <v>122</v>
      </c>
      <c r="FD82" s="49">
        <v>4</v>
      </c>
      <c r="FE82" s="121" t="s">
        <v>1539</v>
      </c>
      <c r="FF82" s="121">
        <f>BX9</f>
        <v>1</v>
      </c>
    </row>
    <row r="83" spans="12:176" ht="16.05" customHeight="1">
      <c r="L83" s="18">
        <v>2</v>
      </c>
      <c r="M83" s="5" t="str">
        <f t="shared" si="38"/>
        <v>Heidenhein CNC program</v>
      </c>
      <c r="N83" s="45" t="s">
        <v>1901</v>
      </c>
      <c r="O83" s="66" t="s">
        <v>1490</v>
      </c>
      <c r="P83" s="45" t="s">
        <v>1583</v>
      </c>
      <c r="Q83" s="45" t="s">
        <v>1629</v>
      </c>
      <c r="R83" s="45" t="s">
        <v>1630</v>
      </c>
      <c r="S83" s="45" t="s">
        <v>1517</v>
      </c>
      <c r="T83" s="45" t="s">
        <v>1712</v>
      </c>
      <c r="U83" s="34" t="s">
        <v>1518</v>
      </c>
      <c r="V83" s="45" t="s">
        <v>1519</v>
      </c>
      <c r="W83" s="45" t="s">
        <v>1774</v>
      </c>
      <c r="X83" s="45" t="s">
        <v>1520</v>
      </c>
      <c r="Y83" s="34" t="s">
        <v>1630</v>
      </c>
      <c r="Z83" s="45" t="s">
        <v>1521</v>
      </c>
      <c r="AA83" s="34" t="s">
        <v>1522</v>
      </c>
      <c r="AB83" s="34" t="s">
        <v>1526</v>
      </c>
      <c r="AC83" s="34" t="s">
        <v>1523</v>
      </c>
      <c r="AD83" s="45" t="s">
        <v>1524</v>
      </c>
      <c r="AE83" s="76" t="s">
        <v>1525</v>
      </c>
      <c r="AF83" s="90" t="s">
        <v>1465</v>
      </c>
      <c r="AG83" s="45" t="s">
        <v>461</v>
      </c>
      <c r="AH83" s="95" t="s">
        <v>73</v>
      </c>
      <c r="AI83" s="87" t="s">
        <v>228</v>
      </c>
      <c r="AK83" s="4">
        <v>82</v>
      </c>
      <c r="AL83" s="4">
        <v>3</v>
      </c>
      <c r="AM83" s="4">
        <v>3</v>
      </c>
      <c r="AN83" s="4">
        <v>1</v>
      </c>
      <c r="AO83" s="197" t="s">
        <v>2184</v>
      </c>
      <c r="AP83" s="198">
        <v>158.5</v>
      </c>
      <c r="AQ83">
        <v>6</v>
      </c>
      <c r="AR83">
        <v>3</v>
      </c>
      <c r="AS83">
        <v>3</v>
      </c>
      <c r="AT83">
        <v>0.7</v>
      </c>
      <c r="AU83">
        <v>8.75</v>
      </c>
      <c r="AV83">
        <v>63</v>
      </c>
      <c r="AW83">
        <v>3.8</v>
      </c>
      <c r="AY83" s="38">
        <f t="shared" si="33"/>
        <v>82</v>
      </c>
      <c r="AZ83" s="25" t="b">
        <f t="shared" si="34"/>
        <v>0</v>
      </c>
      <c r="BA83" s="25" t="b">
        <f t="shared" si="35"/>
        <v>0</v>
      </c>
      <c r="BB83" s="25">
        <f t="shared" si="36"/>
        <v>82</v>
      </c>
      <c r="BC83" s="25" t="b">
        <f t="shared" si="37"/>
        <v>0</v>
      </c>
      <c r="BR83" s="29">
        <v>1</v>
      </c>
      <c r="BS83" s="28">
        <v>1</v>
      </c>
      <c r="CR83" s="44"/>
      <c r="DQ83" s="49"/>
      <c r="DR83" s="18"/>
      <c r="DS83" s="18"/>
      <c r="DT83" s="18"/>
      <c r="DU83" s="18"/>
      <c r="DV83" s="18"/>
      <c r="DW83" s="18"/>
      <c r="DX83" s="18"/>
      <c r="DY83" s="18"/>
      <c r="DZ83" s="18"/>
      <c r="EA83" s="18"/>
      <c r="EB83" s="18"/>
      <c r="ED83" s="49"/>
      <c r="EE83" s="18"/>
      <c r="EF83" s="18"/>
      <c r="EG83" s="18"/>
      <c r="EH83" s="18"/>
      <c r="EI83" s="18"/>
      <c r="EJ83" s="18"/>
      <c r="EQ83" s="49"/>
      <c r="ER83" s="18"/>
      <c r="ES83" s="18"/>
      <c r="ET83" s="18"/>
      <c r="EU83" s="18"/>
      <c r="EV83" s="18"/>
      <c r="EW83" s="18"/>
      <c r="FD83" s="49"/>
    </row>
    <row r="84" spans="12:176" ht="16.05" customHeight="1">
      <c r="L84" s="18">
        <v>3</v>
      </c>
      <c r="M84" s="5" t="str">
        <f t="shared" si="38"/>
        <v>Siemens CNC program</v>
      </c>
      <c r="N84" s="45" t="s">
        <v>1902</v>
      </c>
      <c r="O84" s="66" t="s">
        <v>1012</v>
      </c>
      <c r="P84" s="45" t="s">
        <v>956</v>
      </c>
      <c r="Q84" s="45" t="s">
        <v>1123</v>
      </c>
      <c r="R84" s="45" t="s">
        <v>669</v>
      </c>
      <c r="S84" s="45" t="s">
        <v>761</v>
      </c>
      <c r="T84" s="45" t="s">
        <v>1713</v>
      </c>
      <c r="U84" s="34" t="s">
        <v>372</v>
      </c>
      <c r="V84" s="45" t="s">
        <v>1052</v>
      </c>
      <c r="W84" s="45" t="s">
        <v>1775</v>
      </c>
      <c r="X84" s="45" t="s">
        <v>1249</v>
      </c>
      <c r="Y84" s="34" t="s">
        <v>669</v>
      </c>
      <c r="Z84" s="45" t="s">
        <v>304</v>
      </c>
      <c r="AA84" s="34" t="s">
        <v>1332</v>
      </c>
      <c r="AB84" s="34" t="s">
        <v>502</v>
      </c>
      <c r="AC84" s="34" t="s">
        <v>504</v>
      </c>
      <c r="AD84" s="45" t="s">
        <v>814</v>
      </c>
      <c r="AE84" s="76" t="s">
        <v>1426</v>
      </c>
      <c r="AF84" s="90" t="s">
        <v>1466</v>
      </c>
      <c r="AG84" s="45" t="s">
        <v>462</v>
      </c>
      <c r="AH84" s="95" t="s">
        <v>74</v>
      </c>
      <c r="AI84" s="87" t="s">
        <v>198</v>
      </c>
      <c r="AK84" s="4">
        <v>83</v>
      </c>
      <c r="AL84" s="4">
        <v>3</v>
      </c>
      <c r="AM84" s="4">
        <v>3</v>
      </c>
      <c r="AN84" s="4">
        <v>1</v>
      </c>
      <c r="AO84" s="197" t="s">
        <v>2185</v>
      </c>
      <c r="AP84" s="198">
        <v>144.1</v>
      </c>
      <c r="AQ84">
        <v>6</v>
      </c>
      <c r="AR84">
        <v>3</v>
      </c>
      <c r="AS84">
        <v>3</v>
      </c>
      <c r="AT84">
        <v>0.7</v>
      </c>
      <c r="AU84">
        <v>7.35</v>
      </c>
      <c r="AV84">
        <v>63</v>
      </c>
      <c r="AW84">
        <v>3.8</v>
      </c>
      <c r="AY84" s="38">
        <f t="shared" si="33"/>
        <v>83</v>
      </c>
      <c r="AZ84" s="25" t="b">
        <f t="shared" si="34"/>
        <v>0</v>
      </c>
      <c r="BA84" s="25" t="b">
        <f t="shared" si="35"/>
        <v>0</v>
      </c>
      <c r="BB84" s="25">
        <f t="shared" si="36"/>
        <v>83</v>
      </c>
      <c r="BC84" s="25" t="b">
        <f t="shared" si="37"/>
        <v>0</v>
      </c>
      <c r="BR84" s="29">
        <v>1.2</v>
      </c>
      <c r="BS84" s="28">
        <f>BS83*0.97</f>
        <v>0.97</v>
      </c>
      <c r="CD84" s="39">
        <v>27</v>
      </c>
      <c r="CE84" s="45">
        <f ca="1">LOOKUP(CB$54,CF$5:DP$5,CF84:DP84)</f>
        <v>0</v>
      </c>
      <c r="CF84" s="45"/>
      <c r="CL84" s="44" t="str">
        <f>CONCATENATE(CD84,DR97,DS97,DT97)</f>
        <v>27 CC IX-2.5 IY+0</v>
      </c>
      <c r="CP84" s="44" t="str">
        <f>CONCATENATE(CD84,EE106,FF124,FG124,EG106)</f>
        <v>27 L IZ+75 FMAX</v>
      </c>
      <c r="CR84" s="44" t="str">
        <f>CONCATENATE(CD84,DR88,DS88,DT88)</f>
        <v>27 CP IPA+90 IZ+0.25 DR+</v>
      </c>
      <c r="CV84" s="44" t="str">
        <f>CONCATENATE(CD84,DR97,DS97,DT97)</f>
        <v>27 CC IX-2.5 IY+0</v>
      </c>
      <c r="CW84" s="34" t="s">
        <v>945</v>
      </c>
      <c r="CX84" s="127" t="str">
        <f>CONCATENATE(CD84,ER124,ES124,ET124)</f>
        <v>27 CC IX-2.393 IY+0</v>
      </c>
      <c r="DB84" s="127" t="str">
        <f>CONCATENATE(CD84,DR88,FZ24,DT88)</f>
        <v>27 CP IPA+90 IZ+0.5 DR+</v>
      </c>
      <c r="DC84" s="44" t="str">
        <f>CY30</f>
        <v>G03 X-2.5 Y2.5 Z0.25 I-2.5 J0.</v>
      </c>
      <c r="DD84" s="127" t="str">
        <f>DB84</f>
        <v>27 CP IPA+90 IZ+0.5 DR+</v>
      </c>
      <c r="DJ84" s="44" t="str">
        <f>DH48</f>
        <v>G13.1</v>
      </c>
      <c r="DM84" s="44" t="str">
        <f>CW81</f>
        <v>#2=0</v>
      </c>
      <c r="DP84" s="44" t="str">
        <f>DN30</f>
        <v>G03 X5.064 C5.048 Z0.5 I0.016 J5.048</v>
      </c>
      <c r="DQ84" s="48"/>
      <c r="DR84" s="25"/>
      <c r="DS84" s="25"/>
      <c r="DT84" s="25"/>
      <c r="DU84" s="25"/>
      <c r="DV84" s="25"/>
      <c r="DW84" s="25"/>
      <c r="EB84" s="18"/>
      <c r="EQ84" s="48"/>
      <c r="ER84" s="25"/>
      <c r="ES84" s="25"/>
      <c r="ET84" s="25"/>
      <c r="EU84" s="25"/>
      <c r="EV84" s="25"/>
      <c r="EW84" s="25"/>
      <c r="FD84" s="48"/>
    </row>
    <row r="85" spans="12:176" ht="16.05" customHeight="1">
      <c r="L85" s="18">
        <v>4</v>
      </c>
      <c r="M85" s="5" t="str">
        <f t="shared" si="38"/>
        <v>Num CNC program</v>
      </c>
      <c r="N85" s="44" t="s">
        <v>1903</v>
      </c>
      <c r="O85" s="67" t="s">
        <v>1013</v>
      </c>
      <c r="P85" s="44" t="s">
        <v>905</v>
      </c>
      <c r="Q85" s="44" t="s">
        <v>1124</v>
      </c>
      <c r="R85" s="44" t="s">
        <v>808</v>
      </c>
      <c r="S85" s="44" t="s">
        <v>907</v>
      </c>
      <c r="T85" s="44" t="s">
        <v>1714</v>
      </c>
      <c r="U85" s="34" t="s">
        <v>431</v>
      </c>
      <c r="V85" s="45" t="s">
        <v>1166</v>
      </c>
      <c r="W85" s="44" t="s">
        <v>1776</v>
      </c>
      <c r="X85" s="44" t="s">
        <v>1250</v>
      </c>
      <c r="Y85" s="34" t="s">
        <v>808</v>
      </c>
      <c r="Z85" s="44" t="s">
        <v>305</v>
      </c>
      <c r="AA85" s="34" t="s">
        <v>1333</v>
      </c>
      <c r="AB85" s="34" t="s">
        <v>523</v>
      </c>
      <c r="AC85" s="34" t="s">
        <v>505</v>
      </c>
      <c r="AD85" s="44" t="s">
        <v>815</v>
      </c>
      <c r="AE85" s="76" t="s">
        <v>1427</v>
      </c>
      <c r="AF85" s="90" t="s">
        <v>1467</v>
      </c>
      <c r="AG85" s="44" t="s">
        <v>463</v>
      </c>
      <c r="AH85" s="95" t="s">
        <v>75</v>
      </c>
      <c r="AI85" s="87" t="s">
        <v>199</v>
      </c>
      <c r="AK85" s="4">
        <v>84</v>
      </c>
      <c r="AL85" s="4">
        <v>3</v>
      </c>
      <c r="AM85" s="4">
        <v>3</v>
      </c>
      <c r="AN85" s="4">
        <v>1</v>
      </c>
      <c r="AO85" s="197" t="s">
        <v>2186</v>
      </c>
      <c r="AP85" s="198">
        <v>191.7</v>
      </c>
      <c r="AQ85">
        <v>6</v>
      </c>
      <c r="AR85">
        <v>3</v>
      </c>
      <c r="AS85">
        <v>3</v>
      </c>
      <c r="AT85">
        <v>0.7</v>
      </c>
      <c r="AU85">
        <v>12.95</v>
      </c>
      <c r="AV85">
        <v>63</v>
      </c>
      <c r="AW85">
        <v>3.8</v>
      </c>
      <c r="AY85" s="38">
        <f t="shared" si="33"/>
        <v>84</v>
      </c>
      <c r="AZ85" s="25" t="b">
        <f t="shared" si="34"/>
        <v>0</v>
      </c>
      <c r="BA85" s="25" t="b">
        <f t="shared" si="35"/>
        <v>0</v>
      </c>
      <c r="BB85" s="25">
        <f t="shared" si="36"/>
        <v>84</v>
      </c>
      <c r="BC85" s="25" t="b">
        <f t="shared" si="37"/>
        <v>0</v>
      </c>
      <c r="BR85" s="29">
        <v>1.4</v>
      </c>
      <c r="BS85" s="28">
        <f t="shared" ref="BS85:BS93" si="40">BS84*0.97</f>
        <v>0.94089999999999996</v>
      </c>
      <c r="CD85" s="39"/>
      <c r="CR85" s="44"/>
      <c r="DQ85" s="49">
        <v>5</v>
      </c>
      <c r="DR85" s="18" t="s">
        <v>1486</v>
      </c>
      <c r="DS85" s="18" t="str">
        <f>DS82</f>
        <v>2.5</v>
      </c>
      <c r="DT85" s="18"/>
      <c r="DU85" s="18"/>
      <c r="DV85" s="18"/>
      <c r="DW85" s="18"/>
      <c r="EB85" s="18"/>
      <c r="ED85" s="49">
        <v>5</v>
      </c>
      <c r="EE85" s="18" t="s">
        <v>1486</v>
      </c>
      <c r="EF85" s="18" t="str">
        <f>EF82</f>
        <v>2.323</v>
      </c>
      <c r="EG85" s="18"/>
      <c r="EH85" s="18"/>
      <c r="EI85" s="18"/>
      <c r="EJ85" s="18"/>
      <c r="EQ85" s="49">
        <v>5</v>
      </c>
      <c r="ER85" s="18" t="s">
        <v>1486</v>
      </c>
      <c r="ES85" s="18" t="str">
        <f>ES82</f>
        <v>2.23</v>
      </c>
      <c r="ET85" s="18"/>
      <c r="EU85" s="18"/>
      <c r="EV85" s="18"/>
      <c r="EW85" s="18"/>
      <c r="FD85" s="49">
        <v>5</v>
      </c>
      <c r="FE85" s="121" t="s">
        <v>22</v>
      </c>
    </row>
    <row r="86" spans="12:176" ht="16.05" customHeight="1">
      <c r="L86" s="18">
        <v>5</v>
      </c>
      <c r="M86" s="5" t="str">
        <f t="shared" si="38"/>
        <v>Fagor CNC program</v>
      </c>
      <c r="N86" s="44" t="s">
        <v>1904</v>
      </c>
      <c r="O86" s="67" t="s">
        <v>1014</v>
      </c>
      <c r="P86" s="44" t="s">
        <v>901</v>
      </c>
      <c r="Q86" s="44" t="s">
        <v>1125</v>
      </c>
      <c r="R86" s="44" t="s">
        <v>809</v>
      </c>
      <c r="S86" s="44" t="s">
        <v>853</v>
      </c>
      <c r="T86" s="44" t="s">
        <v>1715</v>
      </c>
      <c r="U86" s="34" t="s">
        <v>432</v>
      </c>
      <c r="V86" s="45" t="s">
        <v>1098</v>
      </c>
      <c r="W86" s="44" t="s">
        <v>1777</v>
      </c>
      <c r="X86" s="44" t="s">
        <v>1251</v>
      </c>
      <c r="Y86" s="34" t="s">
        <v>809</v>
      </c>
      <c r="Z86" s="44" t="s">
        <v>358</v>
      </c>
      <c r="AA86" s="34" t="s">
        <v>1283</v>
      </c>
      <c r="AB86" s="34" t="s">
        <v>526</v>
      </c>
      <c r="AC86" s="34" t="s">
        <v>506</v>
      </c>
      <c r="AD86" s="44" t="s">
        <v>783</v>
      </c>
      <c r="AE86" s="76" t="s">
        <v>1289</v>
      </c>
      <c r="AF86" s="90" t="s">
        <v>1468</v>
      </c>
      <c r="AG86" s="44" t="s">
        <v>464</v>
      </c>
      <c r="AH86" s="95" t="s">
        <v>76</v>
      </c>
      <c r="AI86" s="87" t="s">
        <v>200</v>
      </c>
      <c r="AK86" s="4">
        <v>85</v>
      </c>
      <c r="AL86" s="4">
        <v>3</v>
      </c>
      <c r="AM86" s="4">
        <v>3</v>
      </c>
      <c r="AN86" s="4">
        <v>1</v>
      </c>
      <c r="AO86" s="197" t="s">
        <v>2187</v>
      </c>
      <c r="AP86" s="198">
        <v>174.3</v>
      </c>
      <c r="AQ86">
        <v>6</v>
      </c>
      <c r="AR86">
        <v>3</v>
      </c>
      <c r="AS86">
        <v>3</v>
      </c>
      <c r="AT86">
        <v>0.7</v>
      </c>
      <c r="AU86">
        <v>10.85</v>
      </c>
      <c r="AV86">
        <v>63</v>
      </c>
      <c r="AW86">
        <v>3.8</v>
      </c>
      <c r="AY86" s="38">
        <f t="shared" si="33"/>
        <v>85</v>
      </c>
      <c r="AZ86" s="25" t="b">
        <f t="shared" si="34"/>
        <v>0</v>
      </c>
      <c r="BA86" s="25" t="b">
        <f t="shared" si="35"/>
        <v>0</v>
      </c>
      <c r="BB86" s="25">
        <f t="shared" si="36"/>
        <v>85</v>
      </c>
      <c r="BC86" s="25" t="b">
        <f t="shared" si="37"/>
        <v>0</v>
      </c>
      <c r="BR86" s="29">
        <v>1.6</v>
      </c>
      <c r="BS86" s="28">
        <f t="shared" si="40"/>
        <v>0.91267299999999996</v>
      </c>
      <c r="CR86" s="44"/>
      <c r="DQ86" s="49"/>
      <c r="DR86" s="18"/>
      <c r="DS86" s="18"/>
      <c r="DT86" s="18"/>
      <c r="DU86" s="18"/>
      <c r="DV86" s="18"/>
      <c r="DW86" s="18"/>
      <c r="EB86" s="18"/>
      <c r="ED86" s="49"/>
      <c r="EE86" s="18"/>
      <c r="EF86" s="18"/>
      <c r="EG86" s="18"/>
      <c r="EH86" s="18"/>
      <c r="EI86" s="18"/>
      <c r="EJ86" s="18"/>
      <c r="EQ86" s="49"/>
      <c r="ER86" s="18"/>
      <c r="ES86" s="18"/>
      <c r="ET86" s="18"/>
      <c r="EU86" s="18"/>
      <c r="EV86" s="18"/>
      <c r="EW86" s="18"/>
    </row>
    <row r="87" spans="12:176" ht="16.05" customHeight="1">
      <c r="L87" s="18">
        <v>6</v>
      </c>
      <c r="M87" s="5" t="str">
        <f t="shared" si="38"/>
        <v>Mazak CNC program</v>
      </c>
      <c r="N87" s="44" t="s">
        <v>1905</v>
      </c>
      <c r="O87" s="67" t="s">
        <v>1015</v>
      </c>
      <c r="P87" s="44" t="s">
        <v>997</v>
      </c>
      <c r="Q87" s="44" t="s">
        <v>1126</v>
      </c>
      <c r="R87" s="44" t="s">
        <v>704</v>
      </c>
      <c r="S87" s="44" t="s">
        <v>757</v>
      </c>
      <c r="T87" s="44" t="s">
        <v>1716</v>
      </c>
      <c r="U87" s="34" t="s">
        <v>433</v>
      </c>
      <c r="V87" s="45" t="s">
        <v>1099</v>
      </c>
      <c r="W87" s="44" t="s">
        <v>1778</v>
      </c>
      <c r="X87" s="44" t="s">
        <v>1252</v>
      </c>
      <c r="Y87" s="34" t="s">
        <v>1383</v>
      </c>
      <c r="Z87" s="44" t="s">
        <v>359</v>
      </c>
      <c r="AA87" s="34" t="s">
        <v>1284</v>
      </c>
      <c r="AB87" s="34" t="s">
        <v>527</v>
      </c>
      <c r="AC87" s="34" t="s">
        <v>560</v>
      </c>
      <c r="AD87" s="44" t="s">
        <v>784</v>
      </c>
      <c r="AE87" s="76" t="s">
        <v>1290</v>
      </c>
      <c r="AF87" s="90" t="s">
        <v>1469</v>
      </c>
      <c r="AG87" s="44" t="s">
        <v>465</v>
      </c>
      <c r="AH87" s="95" t="s">
        <v>77</v>
      </c>
      <c r="AI87" s="87" t="s">
        <v>201</v>
      </c>
      <c r="AK87" s="4">
        <v>86</v>
      </c>
      <c r="AL87" s="4">
        <v>3</v>
      </c>
      <c r="AM87" s="4">
        <v>3</v>
      </c>
      <c r="AN87" s="4">
        <v>1</v>
      </c>
      <c r="AO87" s="197" t="s">
        <v>2188</v>
      </c>
      <c r="AP87" s="198">
        <v>144.1</v>
      </c>
      <c r="AQ87">
        <v>6</v>
      </c>
      <c r="AR87">
        <v>3.8</v>
      </c>
      <c r="AS87">
        <v>3</v>
      </c>
      <c r="AT87">
        <v>0.8</v>
      </c>
      <c r="AU87">
        <v>8.4</v>
      </c>
      <c r="AV87">
        <v>63</v>
      </c>
      <c r="AW87">
        <v>4.8</v>
      </c>
      <c r="AY87" s="38">
        <f t="shared" si="33"/>
        <v>86</v>
      </c>
      <c r="AZ87" s="25" t="b">
        <f t="shared" si="34"/>
        <v>0</v>
      </c>
      <c r="BA87" s="25" t="b">
        <f t="shared" si="35"/>
        <v>0</v>
      </c>
      <c r="BB87" s="25">
        <f t="shared" si="36"/>
        <v>86</v>
      </c>
      <c r="BC87" s="25" t="b">
        <f t="shared" si="37"/>
        <v>0</v>
      </c>
      <c r="BR87" s="29">
        <v>1.8</v>
      </c>
      <c r="BS87" s="28">
        <f t="shared" si="40"/>
        <v>0.88529280999999993</v>
      </c>
      <c r="CD87" s="39">
        <v>28</v>
      </c>
      <c r="CE87" s="45">
        <f ca="1">LOOKUP(CB$54,CF$5:DP$5,CF87:DP87)</f>
        <v>0</v>
      </c>
      <c r="CF87" s="45"/>
      <c r="CL87" s="44" t="str">
        <f>CONCATENATE(CD87,DR100,DS100,DT100)</f>
        <v>28 CP IPA+90 IZ+0.25 DR+</v>
      </c>
      <c r="CR87" s="44" t="str">
        <f>CONCATENATE(CD87,DR91,DS91,DT91)</f>
        <v>28 CC IX-5 IY+0</v>
      </c>
      <c r="CV87" s="44" t="str">
        <f>CONCATENATE(CD87,DR100,DS100,DT100)</f>
        <v>28 CP IPA+90 IZ+0.25 DR+</v>
      </c>
      <c r="CW87" s="44" t="str">
        <f>CK54</f>
        <v>G03 X0. Y0. Z2. I-5. J0.</v>
      </c>
      <c r="CX87" s="127" t="str">
        <f>CV87</f>
        <v>28 CP IPA+90 IZ+0.25 DR+</v>
      </c>
      <c r="DB87" s="127" t="str">
        <f>CONCATENATE(CD87,FT103,GB27,FT91,GD27)</f>
        <v>28 CC IX+0.016 IY+5.048</v>
      </c>
      <c r="DC87" s="44" t="str">
        <f>CY33</f>
        <v>G01 G40 X-2.564 Y-2.5</v>
      </c>
      <c r="DD87" s="127" t="str">
        <f>CONCATENATE(CD87,FT103,HB54,FT91,HD54)</f>
        <v>28 CC IX+0.016 IY+4.834</v>
      </c>
      <c r="DJ87" s="44" t="str">
        <f>DH51</f>
        <v>G00 Z75.</v>
      </c>
      <c r="DM87" s="44" t="str">
        <f>CW84</f>
        <v>WHILE[#2LT#1]DO3</v>
      </c>
      <c r="DP87" s="44" t="str">
        <f>DN33</f>
        <v>G03 X-2.5 C2.5 Z0.25 I-2.5 J0.</v>
      </c>
      <c r="DQ87" s="48"/>
      <c r="DR87" s="25"/>
      <c r="DS87" s="18">
        <f>ROUND(BT6/8,3)</f>
        <v>0.25</v>
      </c>
      <c r="DT87" s="25"/>
      <c r="DU87" s="25"/>
      <c r="DV87" s="25"/>
      <c r="DW87" s="25"/>
      <c r="EB87" s="18"/>
      <c r="EF87" s="18"/>
      <c r="EQ87" s="48"/>
      <c r="ER87" s="25"/>
      <c r="ES87" s="18"/>
      <c r="ET87" s="25"/>
      <c r="EU87" s="25"/>
      <c r="EV87" s="25"/>
      <c r="EW87" s="25"/>
    </row>
    <row r="88" spans="12:176" ht="16.05" customHeight="1">
      <c r="L88" s="18">
        <v>7</v>
      </c>
      <c r="M88" s="5" t="str">
        <f t="shared" si="38"/>
        <v>Mitsubishi CNC program</v>
      </c>
      <c r="N88" s="44" t="s">
        <v>1906</v>
      </c>
      <c r="O88" s="67" t="s">
        <v>1016</v>
      </c>
      <c r="P88" s="44" t="s">
        <v>998</v>
      </c>
      <c r="Q88" s="44" t="s">
        <v>1127</v>
      </c>
      <c r="R88" s="44" t="s">
        <v>607</v>
      </c>
      <c r="S88" s="44" t="s">
        <v>732</v>
      </c>
      <c r="T88" s="44" t="s">
        <v>1717</v>
      </c>
      <c r="U88" s="34" t="s">
        <v>434</v>
      </c>
      <c r="V88" s="45" t="s">
        <v>1093</v>
      </c>
      <c r="W88" s="44" t="s">
        <v>1779</v>
      </c>
      <c r="X88" s="44" t="s">
        <v>1253</v>
      </c>
      <c r="Y88" s="34" t="s">
        <v>607</v>
      </c>
      <c r="Z88" s="44" t="s">
        <v>360</v>
      </c>
      <c r="AA88" s="34" t="s">
        <v>1285</v>
      </c>
      <c r="AB88" s="34" t="s">
        <v>528</v>
      </c>
      <c r="AC88" s="34" t="s">
        <v>561</v>
      </c>
      <c r="AD88" s="44" t="s">
        <v>893</v>
      </c>
      <c r="AE88" s="76" t="s">
        <v>1393</v>
      </c>
      <c r="AF88" s="90" t="s">
        <v>1561</v>
      </c>
      <c r="AG88" s="44" t="s">
        <v>380</v>
      </c>
      <c r="AH88" s="95" t="s">
        <v>78</v>
      </c>
      <c r="AI88" s="87" t="s">
        <v>202</v>
      </c>
      <c r="AK88" s="4">
        <v>87</v>
      </c>
      <c r="AL88" s="4">
        <v>3</v>
      </c>
      <c r="AM88" s="4">
        <v>3</v>
      </c>
      <c r="AN88" s="4">
        <v>1</v>
      </c>
      <c r="AO88" s="197" t="s">
        <v>2189</v>
      </c>
      <c r="AP88" s="198">
        <v>191.7</v>
      </c>
      <c r="AQ88">
        <v>6</v>
      </c>
      <c r="AR88">
        <v>3.8</v>
      </c>
      <c r="AS88">
        <v>3</v>
      </c>
      <c r="AT88">
        <v>0.8</v>
      </c>
      <c r="AU88">
        <v>16.399999999999999</v>
      </c>
      <c r="AV88">
        <v>63</v>
      </c>
      <c r="AW88">
        <v>4.8</v>
      </c>
      <c r="AY88" s="38">
        <f t="shared" si="33"/>
        <v>87</v>
      </c>
      <c r="AZ88" s="25" t="b">
        <f t="shared" si="34"/>
        <v>0</v>
      </c>
      <c r="BA88" s="25" t="b">
        <f t="shared" si="35"/>
        <v>0</v>
      </c>
      <c r="BB88" s="25">
        <f t="shared" si="36"/>
        <v>87</v>
      </c>
      <c r="BC88" s="25" t="b">
        <f t="shared" si="37"/>
        <v>0</v>
      </c>
      <c r="BR88" s="29">
        <v>2</v>
      </c>
      <c r="BS88" s="28">
        <f t="shared" si="40"/>
        <v>0.8587340256999999</v>
      </c>
      <c r="CR88" s="44"/>
      <c r="DQ88" s="49">
        <v>6</v>
      </c>
      <c r="DR88" s="18" t="s">
        <v>1487</v>
      </c>
      <c r="DS88" s="18" t="str">
        <f>SUBSTITUTE(DS87,",",".")</f>
        <v>0.25</v>
      </c>
      <c r="DT88" s="18" t="s">
        <v>547</v>
      </c>
      <c r="DU88" s="18"/>
      <c r="DV88" s="25"/>
      <c r="DW88" s="25"/>
      <c r="EB88" s="18"/>
      <c r="ED88" s="49"/>
      <c r="EE88" s="18"/>
      <c r="EF88" s="18"/>
      <c r="EG88" s="18"/>
      <c r="EH88" s="18"/>
      <c r="EQ88" s="49"/>
      <c r="ER88" s="18"/>
      <c r="ES88" s="18"/>
      <c r="ET88" s="18"/>
      <c r="EU88" s="18"/>
      <c r="EV88" s="25"/>
      <c r="EW88" s="25"/>
      <c r="FD88" s="49">
        <v>6</v>
      </c>
      <c r="FE88" s="121" t="s">
        <v>1540</v>
      </c>
    </row>
    <row r="89" spans="12:176" ht="16.05" customHeight="1">
      <c r="M89" s="5"/>
      <c r="N89" s="34"/>
      <c r="O89" s="65"/>
      <c r="AE89" s="76"/>
      <c r="AH89" s="95"/>
      <c r="AK89" s="4">
        <v>88</v>
      </c>
      <c r="AL89" s="4">
        <v>3</v>
      </c>
      <c r="AM89" s="4">
        <v>3</v>
      </c>
      <c r="AN89" s="4">
        <v>1</v>
      </c>
      <c r="AO89" s="197" t="s">
        <v>2190</v>
      </c>
      <c r="AP89" s="198">
        <v>174.3</v>
      </c>
      <c r="AQ89">
        <v>6</v>
      </c>
      <c r="AR89">
        <v>3.8</v>
      </c>
      <c r="AS89">
        <v>3</v>
      </c>
      <c r="AT89">
        <v>0.8</v>
      </c>
      <c r="AU89">
        <v>13.2</v>
      </c>
      <c r="AV89">
        <v>63</v>
      </c>
      <c r="AW89">
        <v>4.8</v>
      </c>
      <c r="AY89" s="38">
        <f t="shared" si="33"/>
        <v>88</v>
      </c>
      <c r="AZ89" s="25" t="b">
        <f t="shared" si="34"/>
        <v>0</v>
      </c>
      <c r="BA89" s="25" t="b">
        <f t="shared" si="35"/>
        <v>0</v>
      </c>
      <c r="BB89" s="25">
        <f t="shared" si="36"/>
        <v>88</v>
      </c>
      <c r="BC89" s="25" t="b">
        <f t="shared" si="37"/>
        <v>0</v>
      </c>
      <c r="BR89" s="29">
        <v>2.2000000000000002</v>
      </c>
      <c r="BS89" s="28">
        <f t="shared" si="40"/>
        <v>0.83297200492899992</v>
      </c>
      <c r="CR89" s="44"/>
      <c r="DQ89" s="49"/>
      <c r="DR89" s="18"/>
      <c r="DS89" s="18"/>
      <c r="DT89" s="18"/>
      <c r="DU89" s="18"/>
      <c r="DV89" s="18"/>
      <c r="DW89" s="18"/>
      <c r="EB89" s="18"/>
      <c r="ED89" s="49"/>
      <c r="EE89" s="18"/>
      <c r="EF89" s="18"/>
      <c r="EG89" s="18"/>
      <c r="EH89" s="18"/>
      <c r="EI89" s="18"/>
      <c r="EJ89" s="18"/>
      <c r="EQ89" s="49"/>
      <c r="ER89" s="18"/>
      <c r="ES89" s="18"/>
      <c r="ET89" s="18"/>
      <c r="EU89" s="18"/>
      <c r="EV89" s="18"/>
      <c r="EW89" s="18"/>
    </row>
    <row r="90" spans="12:176" ht="16.05" customHeight="1">
      <c r="M90" s="5"/>
      <c r="N90" s="34"/>
      <c r="O90" s="65"/>
      <c r="AE90" s="76"/>
      <c r="AH90" s="95"/>
      <c r="AK90" s="4">
        <v>89</v>
      </c>
      <c r="AL90" s="4">
        <v>3</v>
      </c>
      <c r="AM90" s="4">
        <v>3</v>
      </c>
      <c r="AN90" s="4">
        <v>1</v>
      </c>
      <c r="AO90" s="197" t="s">
        <v>2191</v>
      </c>
      <c r="AP90" s="198">
        <v>158.5</v>
      </c>
      <c r="AQ90">
        <v>6</v>
      </c>
      <c r="AR90">
        <v>3.8</v>
      </c>
      <c r="AS90">
        <v>3</v>
      </c>
      <c r="AT90">
        <v>0.8</v>
      </c>
      <c r="AU90">
        <v>10.8</v>
      </c>
      <c r="AV90">
        <v>63</v>
      </c>
      <c r="AW90">
        <v>4.8</v>
      </c>
      <c r="AY90" s="38">
        <f t="shared" si="33"/>
        <v>89</v>
      </c>
      <c r="AZ90" s="25" t="b">
        <f t="shared" si="34"/>
        <v>0</v>
      </c>
      <c r="BA90" s="25" t="b">
        <f t="shared" si="35"/>
        <v>0</v>
      </c>
      <c r="BB90" s="25">
        <f t="shared" si="36"/>
        <v>89</v>
      </c>
      <c r="BC90" s="25" t="b">
        <f t="shared" si="37"/>
        <v>0</v>
      </c>
      <c r="BR90" s="29">
        <v>2.4</v>
      </c>
      <c r="BS90" s="28">
        <f t="shared" si="40"/>
        <v>0.80798284478112992</v>
      </c>
      <c r="CD90" s="39">
        <v>29</v>
      </c>
      <c r="CE90" s="45">
        <f ca="1">LOOKUP(CB$54,CF$5:DP$5,CF90:DP90)</f>
        <v>0</v>
      </c>
      <c r="CF90" s="45"/>
      <c r="CL90" s="44" t="str">
        <f>CONCATENATE(CD90,DR103,DS103,DT103,DU103,DV103)</f>
        <v>29 L IX-2.5 IY-2.5 R0</v>
      </c>
      <c r="CR90" s="44" t="str">
        <f>CONCATENATE(CD90,DR94,DS94,DT94)</f>
        <v>29 CP IPA+360 IZ+2 DR+</v>
      </c>
      <c r="CV90" s="44" t="str">
        <f>CONCATENATE(CD90,DR103,DS103,DT103,DU103,DV103)</f>
        <v>29 L IX-2.5 IY-2.5 R0</v>
      </c>
      <c r="CW90" s="44" t="str">
        <f>CW60</f>
        <v>#2=#2+1</v>
      </c>
      <c r="CX90" s="127" t="str">
        <f>CONCATENATE(CD90,ER130,ES130,ET130,EU130,EV130)</f>
        <v>29 L IX-2.393 IY-2.393 R0</v>
      </c>
      <c r="DB90" s="127" t="str">
        <f>CONCATENATE(CD90,DR88,FZ27,DT88)</f>
        <v>29 CP IPA+90 IZ+0.5 DR+</v>
      </c>
      <c r="DC90" s="44" t="str">
        <f>CY36</f>
        <v>G00 Z102.5</v>
      </c>
      <c r="DD90" s="127" t="str">
        <f>DB90</f>
        <v>29 CP IPA+90 IZ+0.5 DR+</v>
      </c>
      <c r="DM90" s="44" t="str">
        <f>DG57</f>
        <v>G03 X0. C0. Z2. I-5. J0.</v>
      </c>
      <c r="DP90" s="44" t="str">
        <f>DN36</f>
        <v>G01 G40 X-2.564 C-2.5</v>
      </c>
      <c r="DQ90" s="48"/>
      <c r="DR90" s="25"/>
      <c r="DS90" s="18">
        <f>-(2*BX57)</f>
        <v>-5</v>
      </c>
      <c r="DT90" s="25"/>
      <c r="DU90" s="25"/>
      <c r="DV90" s="25"/>
      <c r="DW90" s="25"/>
      <c r="EB90" s="18"/>
      <c r="EF90" s="18"/>
      <c r="EQ90" s="48"/>
      <c r="ER90" s="25"/>
      <c r="ES90" s="18"/>
      <c r="ET90" s="25"/>
      <c r="EU90" s="25"/>
      <c r="EV90" s="25"/>
      <c r="EW90" s="25"/>
    </row>
    <row r="91" spans="12:176" ht="16.05" customHeight="1">
      <c r="M91" s="5" t="str">
        <f t="shared" si="38"/>
        <v>Menetmarás</v>
      </c>
      <c r="N91" s="34" t="s">
        <v>1907</v>
      </c>
      <c r="O91" s="67" t="s">
        <v>1017</v>
      </c>
      <c r="P91" s="34" t="s">
        <v>1053</v>
      </c>
      <c r="Q91" s="44" t="s">
        <v>1032</v>
      </c>
      <c r="R91" s="34" t="s">
        <v>745</v>
      </c>
      <c r="S91" s="34" t="s">
        <v>999</v>
      </c>
      <c r="T91" t="s">
        <v>1718</v>
      </c>
      <c r="U91" s="34" t="s">
        <v>435</v>
      </c>
      <c r="V91" s="45" t="s">
        <v>1273</v>
      </c>
      <c r="W91" t="s">
        <v>1780</v>
      </c>
      <c r="X91" s="34" t="s">
        <v>1254</v>
      </c>
      <c r="Y91" s="34" t="s">
        <v>1384</v>
      </c>
      <c r="Z91" s="44" t="s">
        <v>361</v>
      </c>
      <c r="AA91" s="34" t="s">
        <v>1286</v>
      </c>
      <c r="AB91" s="34" t="s">
        <v>529</v>
      </c>
      <c r="AC91" s="34" t="s">
        <v>562</v>
      </c>
      <c r="AD91" s="34" t="s">
        <v>885</v>
      </c>
      <c r="AE91" s="76" t="s">
        <v>1392</v>
      </c>
      <c r="AF91" s="90" t="s">
        <v>1470</v>
      </c>
      <c r="AG91" s="81" t="s">
        <v>381</v>
      </c>
      <c r="AH91" s="94" t="s">
        <v>79</v>
      </c>
      <c r="AI91" s="87" t="s">
        <v>203</v>
      </c>
      <c r="AK91" s="4">
        <v>90</v>
      </c>
      <c r="AL91" s="4">
        <v>3</v>
      </c>
      <c r="AM91" s="4">
        <v>3</v>
      </c>
      <c r="AN91" s="4">
        <v>1</v>
      </c>
      <c r="AO91" s="197" t="s">
        <v>2192</v>
      </c>
      <c r="AP91" s="198">
        <v>191.7</v>
      </c>
      <c r="AQ91">
        <v>6</v>
      </c>
      <c r="AR91">
        <v>2.2999999999999998</v>
      </c>
      <c r="AS91">
        <v>3</v>
      </c>
      <c r="AT91">
        <v>0.5</v>
      </c>
      <c r="AU91">
        <v>9.75</v>
      </c>
      <c r="AV91">
        <v>63</v>
      </c>
      <c r="AW91">
        <v>2.8</v>
      </c>
      <c r="AY91" s="38">
        <f t="shared" si="33"/>
        <v>90</v>
      </c>
      <c r="AZ91" s="25" t="b">
        <f t="shared" si="34"/>
        <v>0</v>
      </c>
      <c r="BA91" s="25" t="b">
        <f t="shared" si="35"/>
        <v>0</v>
      </c>
      <c r="BB91" s="25">
        <f t="shared" si="36"/>
        <v>90</v>
      </c>
      <c r="BC91" s="25" t="b">
        <f t="shared" si="37"/>
        <v>0</v>
      </c>
      <c r="BR91" s="29">
        <v>2.6</v>
      </c>
      <c r="BS91" s="28">
        <f t="shared" si="40"/>
        <v>0.78374335943769602</v>
      </c>
      <c r="CD91" s="39"/>
      <c r="CR91" s="44"/>
      <c r="DQ91" s="49">
        <v>7</v>
      </c>
      <c r="DR91" s="18" t="s">
        <v>1488</v>
      </c>
      <c r="DS91" s="18" t="str">
        <f>SUBSTITUTE(DS90,",",".")</f>
        <v>-5</v>
      </c>
      <c r="DT91" s="18" t="s">
        <v>1633</v>
      </c>
      <c r="DU91" s="25"/>
      <c r="DV91" s="18"/>
      <c r="DW91" s="18"/>
      <c r="EB91" s="18"/>
      <c r="ED91" s="49">
        <v>7</v>
      </c>
      <c r="EE91" s="18" t="s">
        <v>1488</v>
      </c>
      <c r="EF91" s="18" t="str">
        <f>EM18</f>
        <v>-4.646</v>
      </c>
      <c r="EG91" s="18" t="s">
        <v>1633</v>
      </c>
      <c r="EI91" s="18"/>
      <c r="EJ91" s="18"/>
      <c r="EQ91" s="49">
        <v>7</v>
      </c>
      <c r="ER91" s="18" t="s">
        <v>1488</v>
      </c>
      <c r="ES91" s="18" t="str">
        <f>EZ18</f>
        <v>-4.46</v>
      </c>
      <c r="ET91" s="18" t="s">
        <v>1633</v>
      </c>
      <c r="EU91" s="25"/>
      <c r="EV91" s="18"/>
      <c r="EW91" s="18"/>
      <c r="FS91" s="49">
        <v>7</v>
      </c>
      <c r="FT91" s="33" t="s">
        <v>1596</v>
      </c>
    </row>
    <row r="92" spans="12:176" ht="16.05" customHeight="1">
      <c r="M92" s="5"/>
      <c r="N92" s="34"/>
      <c r="O92" s="65"/>
      <c r="AE92" s="76"/>
      <c r="AH92" s="95"/>
      <c r="AK92" s="4">
        <v>91</v>
      </c>
      <c r="AL92" s="4">
        <v>3</v>
      </c>
      <c r="AM92" s="4">
        <v>3</v>
      </c>
      <c r="AN92" s="4">
        <v>1</v>
      </c>
      <c r="AO92" s="197" t="s">
        <v>2193</v>
      </c>
      <c r="AP92" s="198">
        <v>174.3</v>
      </c>
      <c r="AQ92">
        <v>6</v>
      </c>
      <c r="AR92">
        <v>2.2999999999999998</v>
      </c>
      <c r="AS92">
        <v>3</v>
      </c>
      <c r="AT92">
        <v>0.5</v>
      </c>
      <c r="AU92">
        <v>8.25</v>
      </c>
      <c r="AV92">
        <v>63</v>
      </c>
      <c r="AW92">
        <v>2.8</v>
      </c>
      <c r="AY92" s="38">
        <f t="shared" si="33"/>
        <v>91</v>
      </c>
      <c r="AZ92" s="25" t="b">
        <f t="shared" si="34"/>
        <v>0</v>
      </c>
      <c r="BA92" s="25" t="b">
        <f t="shared" si="35"/>
        <v>0</v>
      </c>
      <c r="BB92" s="25">
        <f t="shared" si="36"/>
        <v>91</v>
      </c>
      <c r="BC92" s="25" t="b">
        <f t="shared" si="37"/>
        <v>0</v>
      </c>
      <c r="BR92" s="29">
        <v>2.8</v>
      </c>
      <c r="BS92" s="28">
        <f t="shared" si="40"/>
        <v>0.76023105865456508</v>
      </c>
      <c r="CR92" s="44"/>
      <c r="DQ92" s="49"/>
      <c r="DR92" s="18"/>
      <c r="DS92" s="18"/>
      <c r="DT92" s="18"/>
      <c r="DU92" s="18"/>
      <c r="DV92" s="18"/>
      <c r="DW92" s="18"/>
      <c r="EB92" s="18"/>
      <c r="ED92" s="49"/>
      <c r="EE92" s="18"/>
      <c r="EF92" s="18"/>
      <c r="EG92" s="18"/>
      <c r="EH92" s="18"/>
      <c r="EI92" s="18"/>
      <c r="EJ92" s="18"/>
      <c r="EQ92" s="49"/>
      <c r="ER92" s="18"/>
      <c r="ES92" s="18"/>
      <c r="ET92" s="18"/>
      <c r="EU92" s="18"/>
      <c r="EV92" s="18"/>
      <c r="EW92" s="18"/>
    </row>
    <row r="93" spans="12:176" ht="16.05" customHeight="1">
      <c r="M93" s="5" t="str">
        <f t="shared" si="38"/>
        <v>Használat előtt kérjük elolvasni!</v>
      </c>
      <c r="N93" s="34" t="s">
        <v>1908</v>
      </c>
      <c r="O93" s="65" t="s">
        <v>1018</v>
      </c>
      <c r="P93" s="34" t="s">
        <v>892</v>
      </c>
      <c r="Q93" s="34" t="s">
        <v>1141</v>
      </c>
      <c r="R93" s="34" t="s">
        <v>1028</v>
      </c>
      <c r="S93" s="34" t="s">
        <v>752</v>
      </c>
      <c r="T93" t="s">
        <v>1719</v>
      </c>
      <c r="U93" s="34" t="s">
        <v>436</v>
      </c>
      <c r="V93" s="34" t="s">
        <v>1147</v>
      </c>
      <c r="W93" t="s">
        <v>1781</v>
      </c>
      <c r="X93" s="34" t="s">
        <v>1180</v>
      </c>
      <c r="Y93" s="34" t="s">
        <v>1491</v>
      </c>
      <c r="Z93" s="34" t="s">
        <v>362</v>
      </c>
      <c r="AA93" s="34" t="s">
        <v>1287</v>
      </c>
      <c r="AB93" s="34" t="s">
        <v>530</v>
      </c>
      <c r="AC93" s="34" t="s">
        <v>563</v>
      </c>
      <c r="AD93" s="34" t="s">
        <v>753</v>
      </c>
      <c r="AE93" s="76" t="s">
        <v>1509</v>
      </c>
      <c r="AF93" s="90" t="s">
        <v>1471</v>
      </c>
      <c r="AG93" s="81" t="s">
        <v>382</v>
      </c>
      <c r="AH93" s="94" t="s">
        <v>155</v>
      </c>
      <c r="AI93" s="87" t="s">
        <v>204</v>
      </c>
      <c r="AK93" s="4">
        <v>92</v>
      </c>
      <c r="AL93" s="4">
        <v>3</v>
      </c>
      <c r="AM93" s="4">
        <v>3</v>
      </c>
      <c r="AN93" s="4">
        <v>1</v>
      </c>
      <c r="AO93" s="197" t="s">
        <v>2194</v>
      </c>
      <c r="AP93" s="198">
        <v>158.5</v>
      </c>
      <c r="AQ93">
        <v>6</v>
      </c>
      <c r="AR93">
        <v>2.2999999999999998</v>
      </c>
      <c r="AS93">
        <v>3</v>
      </c>
      <c r="AT93">
        <v>0.5</v>
      </c>
      <c r="AU93">
        <v>6.75</v>
      </c>
      <c r="AV93">
        <v>63</v>
      </c>
      <c r="AW93">
        <v>2.8</v>
      </c>
      <c r="AY93" s="38">
        <f t="shared" si="33"/>
        <v>92</v>
      </c>
      <c r="AZ93" s="25" t="b">
        <f t="shared" si="34"/>
        <v>0</v>
      </c>
      <c r="BA93" s="25" t="b">
        <f t="shared" si="35"/>
        <v>0</v>
      </c>
      <c r="BB93" s="25">
        <f t="shared" si="36"/>
        <v>92</v>
      </c>
      <c r="BC93" s="25" t="b">
        <f t="shared" si="37"/>
        <v>0</v>
      </c>
      <c r="BR93" s="29">
        <v>3</v>
      </c>
      <c r="BS93" s="28">
        <f t="shared" si="40"/>
        <v>0.73742412689492809</v>
      </c>
      <c r="CD93" s="39">
        <v>30</v>
      </c>
      <c r="CE93" s="45">
        <f ca="1">LOOKUP(CB$54,CF$5:DP$5,CF93:DP93)</f>
        <v>0</v>
      </c>
      <c r="CF93" s="45"/>
      <c r="CL93" s="44" t="str">
        <f>CONCATENATE(CD93,DR106,DS106,DT106)</f>
        <v>30 L IZ+102.5 FMAX</v>
      </c>
      <c r="CR93" s="44" t="str">
        <f>CONCATENATE(CD93,DR97,DS97,DT97)</f>
        <v>30 CC IX-2.5 IY+0</v>
      </c>
      <c r="CV93" s="44" t="str">
        <f>CONCATENATE(CD93,EE106,FK121,FL121,EG106)</f>
        <v>30 L IZ+78.5 FMAX</v>
      </c>
      <c r="CW93" s="44" t="s">
        <v>842</v>
      </c>
      <c r="CX93" s="127" t="str">
        <f>CONCATENATE(CD93,EE106,FQ42,EG106)</f>
        <v>30 L IZ-26.5 FMAX</v>
      </c>
      <c r="DB93" s="127" t="str">
        <f>CONCATENATE(CD93,DR97,DS97,DT97)</f>
        <v>30 CC IX-2.5 IY+0</v>
      </c>
      <c r="DD93" s="127" t="str">
        <f>CONCATENATE(CD93,ER124,ES124,ET124)</f>
        <v>30 CC IX-2.393 IY+0</v>
      </c>
      <c r="DM93" s="44" t="str">
        <f>CW90</f>
        <v>#2=#2+1</v>
      </c>
      <c r="DP93" s="44" t="str">
        <f>DN39</f>
        <v>G13.1</v>
      </c>
      <c r="DQ93" s="48"/>
      <c r="DR93" s="25"/>
      <c r="DS93" s="18">
        <f>BT6</f>
        <v>2</v>
      </c>
      <c r="DT93" s="25"/>
      <c r="DU93" s="25"/>
      <c r="DV93" s="25"/>
      <c r="DW93" s="25"/>
      <c r="EB93" s="18"/>
      <c r="EF93" s="11"/>
      <c r="EQ93" s="48"/>
      <c r="ER93" s="25"/>
      <c r="ES93" s="11"/>
      <c r="ET93" s="25"/>
      <c r="EU93" s="25"/>
      <c r="EV93" s="25"/>
      <c r="EW93" s="25"/>
    </row>
    <row r="94" spans="12:176" ht="16.05" customHeight="1">
      <c r="AK94" s="4">
        <v>93</v>
      </c>
      <c r="AL94" s="4">
        <v>3</v>
      </c>
      <c r="AM94" s="4">
        <v>3</v>
      </c>
      <c r="AN94" s="4">
        <v>1</v>
      </c>
      <c r="AO94" s="197" t="s">
        <v>2195</v>
      </c>
      <c r="AP94" s="198">
        <v>144.1</v>
      </c>
      <c r="AQ94">
        <v>6</v>
      </c>
      <c r="AR94">
        <v>2.2999999999999998</v>
      </c>
      <c r="AS94">
        <v>3</v>
      </c>
      <c r="AT94">
        <v>0.5</v>
      </c>
      <c r="AU94">
        <v>5.25</v>
      </c>
      <c r="AV94">
        <v>63</v>
      </c>
      <c r="AW94">
        <v>2.8</v>
      </c>
      <c r="AY94" s="38">
        <f t="shared" si="33"/>
        <v>93</v>
      </c>
      <c r="AZ94" s="25" t="b">
        <f t="shared" si="34"/>
        <v>0</v>
      </c>
      <c r="BA94" s="25" t="b">
        <f t="shared" si="35"/>
        <v>0</v>
      </c>
      <c r="BB94" s="25">
        <f t="shared" si="36"/>
        <v>93</v>
      </c>
      <c r="BC94" s="25" t="b">
        <f t="shared" si="37"/>
        <v>0</v>
      </c>
      <c r="BR94" s="29">
        <v>3.2</v>
      </c>
      <c r="BS94" s="28">
        <f>BS93*0.97</f>
        <v>0.71530140308808021</v>
      </c>
      <c r="CR94" s="44"/>
      <c r="DQ94" s="49">
        <v>8</v>
      </c>
      <c r="DR94" s="18" t="s">
        <v>1489</v>
      </c>
      <c r="DS94" s="18" t="str">
        <f>SUBSTITUTE(DS93,",",".")</f>
        <v>2</v>
      </c>
      <c r="DT94" s="18" t="s">
        <v>547</v>
      </c>
      <c r="DU94" s="18"/>
      <c r="DV94" s="25"/>
      <c r="DW94" s="25"/>
      <c r="EB94" s="18"/>
      <c r="ED94" s="49"/>
      <c r="EE94" s="18"/>
      <c r="EF94" s="18"/>
      <c r="EG94" s="18"/>
      <c r="EH94" s="18"/>
      <c r="EQ94" s="49"/>
      <c r="ER94" s="18"/>
      <c r="ES94" s="18"/>
      <c r="ET94" s="18"/>
      <c r="EU94" s="18"/>
      <c r="EV94" s="25"/>
      <c r="EW94" s="25"/>
    </row>
    <row r="95" spans="12:176" ht="16.05" customHeight="1">
      <c r="AK95" s="4">
        <v>94</v>
      </c>
      <c r="AL95" s="4">
        <v>7</v>
      </c>
      <c r="AM95" s="4">
        <v>1</v>
      </c>
      <c r="AN95" s="4">
        <v>1</v>
      </c>
      <c r="AO95" s="197" t="s">
        <v>2196</v>
      </c>
      <c r="AP95" s="198">
        <v>516.9</v>
      </c>
      <c r="AQ95">
        <v>16</v>
      </c>
      <c r="AR95">
        <v>16</v>
      </c>
      <c r="AS95">
        <v>5</v>
      </c>
      <c r="AT95">
        <v>2</v>
      </c>
      <c r="AU95">
        <v>39</v>
      </c>
      <c r="AV95">
        <v>100</v>
      </c>
      <c r="AW95">
        <v>19.600000000000001</v>
      </c>
      <c r="AY95" s="38">
        <f t="shared" si="33"/>
        <v>94</v>
      </c>
      <c r="AZ95" s="25">
        <f t="shared" si="34"/>
        <v>94</v>
      </c>
      <c r="BA95" s="25">
        <f t="shared" si="35"/>
        <v>94</v>
      </c>
      <c r="BB95" s="25">
        <f t="shared" si="36"/>
        <v>94</v>
      </c>
      <c r="BC95" s="25">
        <f t="shared" si="37"/>
        <v>94</v>
      </c>
      <c r="BR95" s="29">
        <v>3.4</v>
      </c>
      <c r="BS95" s="28">
        <f>BS94*0.97</f>
        <v>0.69384236099543783</v>
      </c>
      <c r="CR95" s="44"/>
      <c r="DQ95" s="117"/>
      <c r="DR95" s="18"/>
      <c r="DS95" s="18"/>
      <c r="DT95" s="18"/>
      <c r="DU95" s="18"/>
      <c r="DV95" s="18"/>
      <c r="DW95" s="18"/>
      <c r="EB95" s="18"/>
      <c r="ED95" s="117"/>
      <c r="EE95" s="18"/>
      <c r="EF95" s="18"/>
      <c r="EG95" s="18"/>
      <c r="EH95" s="18"/>
      <c r="EI95" s="18"/>
      <c r="EJ95" s="18"/>
      <c r="EQ95" s="117"/>
      <c r="ER95" s="18"/>
      <c r="ES95" s="18"/>
      <c r="ET95" s="18"/>
      <c r="EU95" s="18"/>
      <c r="EV95" s="18"/>
      <c r="EW95" s="18"/>
    </row>
    <row r="96" spans="12:176" ht="16.05" customHeight="1">
      <c r="AK96" s="4">
        <v>95</v>
      </c>
      <c r="AL96" s="4">
        <v>7</v>
      </c>
      <c r="AM96" s="4">
        <v>1</v>
      </c>
      <c r="AN96" s="4">
        <v>1</v>
      </c>
      <c r="AO96" s="197" t="s">
        <v>2197</v>
      </c>
      <c r="AP96" s="198">
        <v>359.4</v>
      </c>
      <c r="AQ96">
        <v>12</v>
      </c>
      <c r="AR96">
        <v>12</v>
      </c>
      <c r="AS96">
        <v>4</v>
      </c>
      <c r="AT96">
        <v>2</v>
      </c>
      <c r="AU96">
        <v>35</v>
      </c>
      <c r="AV96">
        <v>100</v>
      </c>
      <c r="AW96">
        <v>15.6</v>
      </c>
      <c r="AY96" s="38">
        <f t="shared" si="33"/>
        <v>95</v>
      </c>
      <c r="AZ96" s="25">
        <f t="shared" si="34"/>
        <v>95</v>
      </c>
      <c r="BA96" s="25">
        <f t="shared" si="35"/>
        <v>95</v>
      </c>
      <c r="BB96" s="25">
        <f t="shared" si="36"/>
        <v>95</v>
      </c>
      <c r="BC96" s="25">
        <f t="shared" si="37"/>
        <v>95</v>
      </c>
      <c r="BR96" s="29">
        <v>3.6</v>
      </c>
      <c r="BS96" s="28">
        <f>BS95*0.97</f>
        <v>0.67302709016557472</v>
      </c>
      <c r="CD96" s="39">
        <v>31</v>
      </c>
      <c r="CE96" s="45">
        <f ca="1">LOOKUP(CB$54,CF$5:DP$5,CF96:DP96)</f>
        <v>0</v>
      </c>
      <c r="CF96" s="45"/>
      <c r="CR96" s="44" t="str">
        <f>CONCATENATE(CD96,DR100,DS100,DT100)</f>
        <v>31 CP IPA+90 IZ+0.25 DR+</v>
      </c>
      <c r="CW96" s="44" t="str">
        <f>CK57</f>
        <v>G03 X-2.5 Y2.5 Z0.25 I-2.5 J0.</v>
      </c>
      <c r="CX96" s="127" t="str">
        <f ca="1">CONCATENATE(CD96,DR82,DS82,DT82,DU82,DV82,DW82)</f>
        <v>31 L IX+2.5 IY-2.5 RL F129</v>
      </c>
      <c r="DB96" s="127" t="str">
        <f>CONCATENATE(CD96,DR100,DS100,DT100)</f>
        <v>31 CP IPA+90 IZ+0.25 DR+</v>
      </c>
      <c r="DD96" s="127" t="str">
        <f>CONCATENATE(CD96,DR100,DS100,DT100)</f>
        <v>31 CP IPA+90 IZ+0.25 DR+</v>
      </c>
      <c r="DM96" s="44" t="str">
        <f>CW93</f>
        <v>END3</v>
      </c>
      <c r="DP96" s="44" t="str">
        <f>DN42</f>
        <v>G00 Z102.5</v>
      </c>
      <c r="DQ96" s="48"/>
      <c r="DR96" s="25"/>
      <c r="DS96" s="18"/>
      <c r="DT96" s="25"/>
      <c r="DU96" s="25"/>
      <c r="DV96" s="25"/>
      <c r="DW96" s="25"/>
      <c r="EB96" s="18"/>
      <c r="EF96" s="18"/>
      <c r="EQ96" s="48"/>
      <c r="ER96" s="25"/>
      <c r="ES96" s="18"/>
      <c r="ET96" s="25"/>
      <c r="EU96" s="25"/>
      <c r="EV96" s="25"/>
      <c r="EW96" s="25"/>
    </row>
    <row r="97" spans="37:176" ht="16.05" customHeight="1">
      <c r="AK97" s="4">
        <v>96</v>
      </c>
      <c r="AL97" s="4">
        <v>7</v>
      </c>
      <c r="AM97" s="4">
        <v>1</v>
      </c>
      <c r="AN97" s="4">
        <v>1</v>
      </c>
      <c r="AO97" s="197" t="s">
        <v>2198</v>
      </c>
      <c r="AP97" s="198">
        <v>359.3</v>
      </c>
      <c r="AQ97">
        <v>12</v>
      </c>
      <c r="AR97">
        <v>12</v>
      </c>
      <c r="AS97">
        <v>4</v>
      </c>
      <c r="AT97">
        <v>1.5</v>
      </c>
      <c r="AU97">
        <v>29.25</v>
      </c>
      <c r="AV97">
        <v>100</v>
      </c>
      <c r="AW97">
        <v>15.6</v>
      </c>
      <c r="AY97" s="38">
        <f t="shared" si="33"/>
        <v>96</v>
      </c>
      <c r="AZ97" s="25" t="b">
        <f t="shared" si="34"/>
        <v>0</v>
      </c>
      <c r="BA97" s="25">
        <f t="shared" si="35"/>
        <v>96</v>
      </c>
      <c r="BB97" s="25">
        <f t="shared" si="36"/>
        <v>96</v>
      </c>
      <c r="BC97" s="25" t="b">
        <f t="shared" si="37"/>
        <v>0</v>
      </c>
      <c r="BR97" s="29">
        <v>3.8</v>
      </c>
      <c r="BS97" s="28">
        <f>BS96*0.97</f>
        <v>0.65283627746060746</v>
      </c>
      <c r="CD97" s="39"/>
      <c r="CR97" s="44"/>
      <c r="DQ97" s="49">
        <v>9</v>
      </c>
      <c r="DR97" s="18" t="s">
        <v>1488</v>
      </c>
      <c r="DS97" s="18" t="str">
        <f>DU82</f>
        <v>-2.5</v>
      </c>
      <c r="DT97" s="18" t="s">
        <v>1633</v>
      </c>
      <c r="DU97" s="25"/>
      <c r="DV97" s="18"/>
      <c r="DW97" s="18"/>
      <c r="EB97" s="18"/>
      <c r="ED97" s="49">
        <v>9</v>
      </c>
      <c r="EE97" s="18" t="s">
        <v>1488</v>
      </c>
      <c r="EF97" s="18" t="str">
        <f>EH82</f>
        <v>-2.323</v>
      </c>
      <c r="EG97" s="18" t="s">
        <v>1633</v>
      </c>
      <c r="EI97" s="18"/>
      <c r="EJ97" s="18"/>
      <c r="EQ97" s="49">
        <v>9</v>
      </c>
      <c r="ER97" s="18" t="s">
        <v>1488</v>
      </c>
      <c r="ES97" s="18" t="str">
        <f>EU82</f>
        <v>-2.23</v>
      </c>
      <c r="ET97" s="18" t="s">
        <v>1633</v>
      </c>
      <c r="EU97" s="25"/>
      <c r="EV97" s="18"/>
      <c r="EW97" s="18"/>
    </row>
    <row r="98" spans="37:176" ht="16.05" customHeight="1">
      <c r="AK98" s="4">
        <v>97</v>
      </c>
      <c r="AL98" s="4">
        <v>7</v>
      </c>
      <c r="AM98" s="4">
        <v>1</v>
      </c>
      <c r="AN98" s="4">
        <v>1</v>
      </c>
      <c r="AO98" s="197" t="s">
        <v>2199</v>
      </c>
      <c r="AP98" s="198">
        <v>306.10000000000002</v>
      </c>
      <c r="AQ98">
        <v>10</v>
      </c>
      <c r="AR98">
        <v>10</v>
      </c>
      <c r="AS98">
        <v>3</v>
      </c>
      <c r="AT98">
        <v>2</v>
      </c>
      <c r="AU98">
        <v>31</v>
      </c>
      <c r="AV98">
        <v>100</v>
      </c>
      <c r="AW98">
        <v>13.6</v>
      </c>
      <c r="AY98" s="38">
        <f t="shared" si="33"/>
        <v>97</v>
      </c>
      <c r="AZ98" s="25">
        <f t="shared" si="34"/>
        <v>97</v>
      </c>
      <c r="BA98" s="25">
        <f t="shared" si="35"/>
        <v>97</v>
      </c>
      <c r="BB98" s="25">
        <f t="shared" si="36"/>
        <v>97</v>
      </c>
      <c r="BC98" s="25">
        <f t="shared" si="37"/>
        <v>97</v>
      </c>
      <c r="BR98" s="29">
        <v>4</v>
      </c>
      <c r="BS98" s="28">
        <f>BS97*0.97</f>
        <v>0.63325118913678924</v>
      </c>
      <c r="CR98" s="44"/>
      <c r="DQ98" s="49"/>
      <c r="DR98" s="18"/>
      <c r="DS98" s="18"/>
      <c r="DT98" s="18"/>
      <c r="DU98" s="18"/>
      <c r="DV98" s="18"/>
      <c r="DW98" s="18"/>
      <c r="EB98" s="18"/>
      <c r="ED98" s="49"/>
      <c r="EE98" s="18"/>
      <c r="EF98" s="18"/>
      <c r="EG98" s="18"/>
      <c r="EH98" s="18"/>
      <c r="EI98" s="18"/>
      <c r="EJ98" s="18"/>
      <c r="EQ98" s="49"/>
      <c r="ER98" s="18"/>
      <c r="ES98" s="18"/>
      <c r="ET98" s="18"/>
      <c r="EU98" s="18"/>
      <c r="EV98" s="18"/>
      <c r="EW98" s="18"/>
    </row>
    <row r="99" spans="37:176" ht="16.05" customHeight="1">
      <c r="AK99" s="4">
        <v>98</v>
      </c>
      <c r="AL99" s="4">
        <v>7</v>
      </c>
      <c r="AM99" s="4">
        <v>1</v>
      </c>
      <c r="AN99" s="4">
        <v>1</v>
      </c>
      <c r="AO99" s="197" t="s">
        <v>2200</v>
      </c>
      <c r="AP99" s="198">
        <v>306.10000000000002</v>
      </c>
      <c r="AQ99">
        <v>10</v>
      </c>
      <c r="AR99">
        <v>9</v>
      </c>
      <c r="AS99">
        <v>3</v>
      </c>
      <c r="AT99">
        <v>1.75</v>
      </c>
      <c r="AU99">
        <v>27.12</v>
      </c>
      <c r="AV99">
        <v>100</v>
      </c>
      <c r="AW99">
        <v>11.6</v>
      </c>
      <c r="AY99" s="38">
        <f t="shared" si="33"/>
        <v>98</v>
      </c>
      <c r="AZ99" s="25" t="b">
        <f t="shared" si="34"/>
        <v>0</v>
      </c>
      <c r="BA99" s="25">
        <f t="shared" si="35"/>
        <v>98</v>
      </c>
      <c r="BB99" s="25">
        <f t="shared" si="36"/>
        <v>98</v>
      </c>
      <c r="BC99" s="25" t="b">
        <f t="shared" si="37"/>
        <v>0</v>
      </c>
      <c r="BR99" s="29">
        <v>10</v>
      </c>
      <c r="BS99" s="28">
        <v>0.5</v>
      </c>
      <c r="CD99" s="39">
        <v>32</v>
      </c>
      <c r="CE99" s="45">
        <f ca="1">LOOKUP(CB$54,CF$5:DP$5,CF99:DP99)</f>
        <v>0</v>
      </c>
      <c r="CF99" s="45"/>
      <c r="CR99" s="44" t="str">
        <f>CONCATENATE(CD99,DR103,DS103,DT103,DU103,DV103)</f>
        <v>32 L IX-2.5 IY-2.5 R0</v>
      </c>
      <c r="CW99" s="44" t="str">
        <f>CK60</f>
        <v>G01 G40 X-2.5 Y-2.5</v>
      </c>
      <c r="CX99" s="127" t="str">
        <f>CONCATENATE(CD99,DR85,DS85)</f>
        <v>32 CC IX+0 IY+2.5</v>
      </c>
      <c r="DB99" s="127" t="str">
        <f>CONCATENATE(CD99,DR103,FW33,DT103,DU103,DV103)</f>
        <v>32 L IX-2.564 IY-2.5 R0</v>
      </c>
      <c r="DD99" s="127" t="str">
        <f>CONCATENATE(CD99,DR103,GW60,DT103,GY60,DV103)</f>
        <v>32 L IX-2.457 IY-2.393 R0</v>
      </c>
      <c r="DM99" s="44" t="str">
        <f>DG60</f>
        <v>G03 X-2.5 C2.5 Z0.25 I-2.5 J0.</v>
      </c>
      <c r="DQ99" s="48"/>
      <c r="DR99" s="25"/>
      <c r="DS99" s="18"/>
      <c r="DT99" s="25"/>
      <c r="DU99" s="25"/>
      <c r="DV99" s="25"/>
      <c r="DW99" s="25"/>
      <c r="EB99" s="18"/>
      <c r="EF99" s="18"/>
      <c r="EQ99" s="48"/>
      <c r="ER99" s="25"/>
      <c r="ES99" s="18"/>
      <c r="ET99" s="25"/>
      <c r="EU99" s="25"/>
      <c r="EV99" s="25"/>
      <c r="EW99" s="25"/>
    </row>
    <row r="100" spans="37:176" ht="16.05" customHeight="1">
      <c r="AK100" s="4">
        <v>99</v>
      </c>
      <c r="AL100" s="4">
        <v>7</v>
      </c>
      <c r="AM100" s="4">
        <v>1</v>
      </c>
      <c r="AN100" s="4">
        <v>1</v>
      </c>
      <c r="AO100" s="197" t="s">
        <v>2201</v>
      </c>
      <c r="AP100" s="198">
        <v>240.5</v>
      </c>
      <c r="AQ100">
        <v>8</v>
      </c>
      <c r="AR100">
        <v>8</v>
      </c>
      <c r="AS100">
        <v>4</v>
      </c>
      <c r="AT100">
        <v>1</v>
      </c>
      <c r="AU100">
        <v>17.5</v>
      </c>
      <c r="AV100">
        <v>76</v>
      </c>
      <c r="AW100">
        <v>9.8000000000000007</v>
      </c>
      <c r="AY100" s="38">
        <f t="shared" si="33"/>
        <v>99</v>
      </c>
      <c r="AZ100" s="25" t="b">
        <f t="shared" si="34"/>
        <v>0</v>
      </c>
      <c r="BA100" s="25" t="b">
        <f t="shared" si="35"/>
        <v>0</v>
      </c>
      <c r="BB100" s="25">
        <f t="shared" si="36"/>
        <v>99</v>
      </c>
      <c r="BC100" s="25" t="b">
        <f t="shared" si="37"/>
        <v>0</v>
      </c>
      <c r="CR100" s="44"/>
      <c r="DQ100" s="49">
        <v>10</v>
      </c>
      <c r="DR100" s="18" t="s">
        <v>1487</v>
      </c>
      <c r="DS100" s="18" t="str">
        <f>DS88</f>
        <v>0.25</v>
      </c>
      <c r="DT100" s="18" t="s">
        <v>547</v>
      </c>
      <c r="DU100" s="18"/>
      <c r="DV100" s="25"/>
      <c r="DW100" s="25"/>
      <c r="EB100" s="18"/>
      <c r="ED100" s="49"/>
      <c r="EE100" s="18"/>
      <c r="EF100" s="18"/>
      <c r="EG100" s="18"/>
      <c r="EH100" s="18"/>
      <c r="EQ100" s="49"/>
      <c r="ER100" s="18"/>
      <c r="ES100" s="18"/>
      <c r="ET100" s="18"/>
      <c r="EU100" s="18"/>
      <c r="EV100" s="25"/>
      <c r="EW100" s="25"/>
    </row>
    <row r="101" spans="37:176" ht="16.05" customHeight="1">
      <c r="AK101" s="4">
        <v>100</v>
      </c>
      <c r="AL101" s="4">
        <v>7</v>
      </c>
      <c r="AM101" s="4">
        <v>1</v>
      </c>
      <c r="AN101" s="4">
        <v>1</v>
      </c>
      <c r="AO101" s="197" t="s">
        <v>2202</v>
      </c>
      <c r="AP101" s="198">
        <v>240.4</v>
      </c>
      <c r="AQ101">
        <v>8</v>
      </c>
      <c r="AR101">
        <v>8</v>
      </c>
      <c r="AS101">
        <v>3</v>
      </c>
      <c r="AT101">
        <v>1.75</v>
      </c>
      <c r="AU101">
        <v>27.12</v>
      </c>
      <c r="AV101">
        <v>76</v>
      </c>
      <c r="AW101">
        <v>10.6</v>
      </c>
      <c r="AY101" s="38">
        <f t="shared" si="33"/>
        <v>100</v>
      </c>
      <c r="AZ101" s="25" t="b">
        <f t="shared" si="34"/>
        <v>0</v>
      </c>
      <c r="BA101" s="25">
        <f t="shared" si="35"/>
        <v>100</v>
      </c>
      <c r="BB101" s="25">
        <f t="shared" si="36"/>
        <v>100</v>
      </c>
      <c r="BC101" s="25" t="b">
        <f t="shared" si="37"/>
        <v>0</v>
      </c>
      <c r="CR101" s="44"/>
      <c r="DQ101" s="49"/>
      <c r="DR101" s="18"/>
      <c r="DS101" s="18"/>
      <c r="DT101" s="18"/>
      <c r="DU101" s="18"/>
      <c r="DV101" s="39"/>
      <c r="DW101" s="18"/>
      <c r="EB101" s="18"/>
      <c r="ED101" s="49"/>
      <c r="EE101" s="18"/>
      <c r="EF101" s="18"/>
      <c r="EG101" s="18"/>
      <c r="EH101" s="18"/>
      <c r="EI101" s="39"/>
      <c r="EJ101" s="18"/>
      <c r="EQ101" s="49"/>
      <c r="ER101" s="18"/>
      <c r="ES101" s="18"/>
      <c r="ET101" s="18"/>
      <c r="EU101" s="18"/>
      <c r="EV101" s="39"/>
      <c r="EW101" s="18"/>
    </row>
    <row r="102" spans="37:176" ht="16.05" customHeight="1">
      <c r="AK102" s="4">
        <v>101</v>
      </c>
      <c r="AL102" s="4">
        <v>7</v>
      </c>
      <c r="AM102" s="4">
        <v>1</v>
      </c>
      <c r="AN102" s="4">
        <v>1</v>
      </c>
      <c r="AO102" s="197" t="s">
        <v>2203</v>
      </c>
      <c r="AP102" s="198">
        <v>240.4</v>
      </c>
      <c r="AQ102">
        <v>8</v>
      </c>
      <c r="AR102">
        <v>7.5</v>
      </c>
      <c r="AS102">
        <v>3</v>
      </c>
      <c r="AT102">
        <v>1.5</v>
      </c>
      <c r="AU102">
        <v>21.75</v>
      </c>
      <c r="AV102">
        <v>76</v>
      </c>
      <c r="AW102">
        <v>9.6</v>
      </c>
      <c r="AY102" s="38">
        <f t="shared" si="33"/>
        <v>101</v>
      </c>
      <c r="AZ102" s="25" t="b">
        <f t="shared" si="34"/>
        <v>0</v>
      </c>
      <c r="BA102" s="25" t="b">
        <f t="shared" si="35"/>
        <v>0</v>
      </c>
      <c r="BB102" s="25">
        <f t="shared" si="36"/>
        <v>101</v>
      </c>
      <c r="BC102" s="25" t="b">
        <f t="shared" si="37"/>
        <v>0</v>
      </c>
      <c r="BI102" s="61">
        <f>BI2</f>
        <v>5</v>
      </c>
      <c r="BJ102" s="7" t="s">
        <v>629</v>
      </c>
      <c r="BK102" s="7" t="s">
        <v>630</v>
      </c>
      <c r="BL102" s="9"/>
      <c r="BM102" s="7" t="s">
        <v>629</v>
      </c>
      <c r="BN102" s="7" t="s">
        <v>630</v>
      </c>
      <c r="BO102" s="7" t="s">
        <v>1827</v>
      </c>
      <c r="BP102" s="13" t="s">
        <v>805</v>
      </c>
      <c r="BQ102" s="13" t="s">
        <v>743</v>
      </c>
      <c r="CD102" s="39">
        <v>33</v>
      </c>
      <c r="CE102" s="45">
        <f ca="1">LOOKUP(CB$54,CF$5:DP$5,CF102:DP102)</f>
        <v>0</v>
      </c>
      <c r="CF102" s="45"/>
      <c r="CR102" s="44" t="str">
        <f>CONCATENATE(CD102,DR106,FF115,DT106)</f>
        <v>33 L IZ+27.5 FMAX</v>
      </c>
      <c r="CW102" s="44" t="str">
        <f>CU72</f>
        <v>G00 Z78.5</v>
      </c>
      <c r="CX102" s="127" t="str">
        <f>CONCATENATE(CD102,DR88,DS88,DT88)</f>
        <v>33 CP IPA+90 IZ+0.25 DR+</v>
      </c>
      <c r="DB102" s="127" t="str">
        <f>CONCATENATE(CD102,DR106,DS106,DT106)</f>
        <v>33 L IZ+102.5 FMAX</v>
      </c>
      <c r="DD102" s="127" t="str">
        <f>CONCATENATE(CD102,EE106,EF106,EG106)</f>
        <v>33 L IZ-2.5 FMAX</v>
      </c>
      <c r="DM102" s="44" t="str">
        <f>DG63</f>
        <v>G01 G40 X-2.5 C-2.5</v>
      </c>
      <c r="DQ102" s="48"/>
      <c r="DR102" s="25"/>
      <c r="DS102" s="25"/>
      <c r="DT102" s="25"/>
      <c r="DU102" s="25"/>
      <c r="DV102" s="25"/>
      <c r="DW102" s="25"/>
      <c r="EB102" s="18"/>
      <c r="EQ102" s="48"/>
      <c r="ER102" s="25"/>
      <c r="ES102" s="25"/>
      <c r="ET102" s="25"/>
      <c r="EU102" s="25"/>
      <c r="EV102" s="25"/>
      <c r="EW102" s="25"/>
    </row>
    <row r="103" spans="37:176" ht="16.05" customHeight="1">
      <c r="AK103" s="4">
        <v>102</v>
      </c>
      <c r="AL103" s="4">
        <v>7</v>
      </c>
      <c r="AM103" s="4">
        <v>1</v>
      </c>
      <c r="AN103" s="4">
        <v>1</v>
      </c>
      <c r="AO103" s="197" t="s">
        <v>2204</v>
      </c>
      <c r="AP103" s="198">
        <v>190.2</v>
      </c>
      <c r="AQ103">
        <v>6</v>
      </c>
      <c r="AR103">
        <v>6</v>
      </c>
      <c r="AS103">
        <v>3</v>
      </c>
      <c r="AT103">
        <v>1.25</v>
      </c>
      <c r="AU103">
        <v>18.12</v>
      </c>
      <c r="AV103">
        <v>76</v>
      </c>
      <c r="AW103">
        <v>7.8</v>
      </c>
      <c r="AY103" s="38">
        <f t="shared" si="33"/>
        <v>102</v>
      </c>
      <c r="AZ103" s="25" t="b">
        <f t="shared" si="34"/>
        <v>0</v>
      </c>
      <c r="BA103" s="25" t="b">
        <f t="shared" si="35"/>
        <v>0</v>
      </c>
      <c r="BB103" s="25">
        <f t="shared" si="36"/>
        <v>102</v>
      </c>
      <c r="BC103" s="25" t="b">
        <f t="shared" si="37"/>
        <v>0</v>
      </c>
      <c r="BI103" s="25">
        <v>1</v>
      </c>
      <c r="BJ103" s="6">
        <v>158</v>
      </c>
      <c r="BK103" s="8">
        <v>1.2</v>
      </c>
      <c r="BL103" s="9"/>
      <c r="BM103" s="21">
        <f>LOOKUP(BI102,BI103:BI132,BJ103:BJ132)</f>
        <v>83</v>
      </c>
      <c r="BN103" s="22">
        <f>LOOKUP(BI102,BI103:BI132,BK103:BK132)</f>
        <v>0.9</v>
      </c>
      <c r="BO103" s="20">
        <f>IF(H19&gt;0,H19,G19)</f>
        <v>516.9</v>
      </c>
      <c r="BP103" s="14">
        <v>1</v>
      </c>
      <c r="BQ103" s="11">
        <v>0.01</v>
      </c>
      <c r="BS103" s="7"/>
      <c r="BT103" s="18">
        <f>C11</f>
        <v>2</v>
      </c>
      <c r="CR103" s="44"/>
      <c r="DQ103" s="49">
        <v>11</v>
      </c>
      <c r="DR103" s="18" t="s">
        <v>1481</v>
      </c>
      <c r="DS103" s="18" t="str">
        <f>DU82</f>
        <v>-2.5</v>
      </c>
      <c r="DT103" s="18" t="s">
        <v>827</v>
      </c>
      <c r="DU103" s="18" t="str">
        <f>DU82</f>
        <v>-2.5</v>
      </c>
      <c r="DV103" s="18" t="s">
        <v>548</v>
      </c>
      <c r="DW103" s="25"/>
      <c r="EB103" s="18"/>
      <c r="ED103" s="49">
        <v>11</v>
      </c>
      <c r="EE103" s="18" t="s">
        <v>1481</v>
      </c>
      <c r="EF103" s="18" t="str">
        <f>EH82</f>
        <v>-2.323</v>
      </c>
      <c r="EG103" s="18" t="s">
        <v>827</v>
      </c>
      <c r="EH103" s="18" t="str">
        <f>EH82</f>
        <v>-2.323</v>
      </c>
      <c r="EI103" s="18" t="s">
        <v>548</v>
      </c>
      <c r="EQ103" s="49">
        <v>11</v>
      </c>
      <c r="ER103" s="18" t="s">
        <v>1481</v>
      </c>
      <c r="ES103" s="18" t="str">
        <f>EU82</f>
        <v>-2.23</v>
      </c>
      <c r="ET103" s="18" t="s">
        <v>827</v>
      </c>
      <c r="EU103" s="18" t="str">
        <f>EU82</f>
        <v>-2.23</v>
      </c>
      <c r="EV103" s="18" t="s">
        <v>548</v>
      </c>
      <c r="EW103" s="25"/>
      <c r="FS103" s="49">
        <v>11</v>
      </c>
      <c r="FT103" s="18" t="s">
        <v>1597</v>
      </c>
    </row>
    <row r="104" spans="37:176" ht="16.05" customHeight="1">
      <c r="AK104" s="4">
        <v>103</v>
      </c>
      <c r="AL104" s="4">
        <v>4</v>
      </c>
      <c r="AM104" s="4">
        <v>1</v>
      </c>
      <c r="AN104" s="4">
        <v>1</v>
      </c>
      <c r="AO104" s="197" t="s">
        <v>2205</v>
      </c>
      <c r="AP104" s="198">
        <v>654.79999999999995</v>
      </c>
      <c r="AQ104">
        <v>20</v>
      </c>
      <c r="AR104">
        <v>20</v>
      </c>
      <c r="AS104">
        <v>3</v>
      </c>
      <c r="AT104">
        <v>3.5</v>
      </c>
      <c r="AU104">
        <v>64.75</v>
      </c>
      <c r="AV104">
        <v>150</v>
      </c>
      <c r="AW104">
        <v>29.6</v>
      </c>
      <c r="AY104" s="38" t="b">
        <f t="shared" si="33"/>
        <v>0</v>
      </c>
      <c r="AZ104" s="25" t="b">
        <f t="shared" si="34"/>
        <v>0</v>
      </c>
      <c r="BA104" s="25">
        <f t="shared" si="35"/>
        <v>103</v>
      </c>
      <c r="BB104" s="25">
        <f t="shared" si="36"/>
        <v>103</v>
      </c>
      <c r="BC104" s="25" t="b">
        <f t="shared" si="37"/>
        <v>0</v>
      </c>
      <c r="BI104" s="25">
        <v>2</v>
      </c>
      <c r="BJ104" s="6">
        <v>133</v>
      </c>
      <c r="BK104" s="8">
        <v>1.1000000000000001</v>
      </c>
      <c r="BL104" s="9"/>
      <c r="BM104" s="9"/>
      <c r="BN104" s="9"/>
      <c r="BO104" s="7" t="s">
        <v>1826</v>
      </c>
      <c r="BP104" s="14">
        <v>2.2000000000000002</v>
      </c>
      <c r="BQ104" s="11">
        <f>BQ103*1.1</f>
        <v>1.1000000000000001E-2</v>
      </c>
      <c r="BS104" s="7"/>
      <c r="BT104" s="11">
        <f>25.4/C11</f>
        <v>12.7</v>
      </c>
      <c r="BW104" s="7" t="s">
        <v>862</v>
      </c>
      <c r="BX104" s="25">
        <f>(IF(H22&gt;0,H22,G22))+0.001</f>
        <v>39.000999999999998</v>
      </c>
      <c r="CR104" s="44"/>
      <c r="DR104" s="18"/>
      <c r="DS104" s="18"/>
      <c r="DT104" s="18"/>
      <c r="DU104" s="18"/>
      <c r="DV104" s="39"/>
      <c r="DW104" s="18"/>
      <c r="EB104" s="18"/>
      <c r="ED104" s="46"/>
      <c r="EE104" s="18"/>
      <c r="EF104" s="18"/>
      <c r="EG104" s="18"/>
      <c r="EH104" s="18"/>
      <c r="EI104" s="39"/>
      <c r="EJ104" s="18"/>
      <c r="ER104" s="18"/>
      <c r="ES104" s="18"/>
      <c r="ET104" s="18"/>
      <c r="EU104" s="18"/>
      <c r="EV104" s="39"/>
      <c r="EW104" s="18"/>
    </row>
    <row r="105" spans="37:176" ht="16.05" customHeight="1">
      <c r="AK105" s="4">
        <v>104</v>
      </c>
      <c r="AL105" s="4">
        <v>4</v>
      </c>
      <c r="AM105" s="4">
        <v>1</v>
      </c>
      <c r="AN105" s="4">
        <v>1</v>
      </c>
      <c r="AO105" s="197" t="s">
        <v>2206</v>
      </c>
      <c r="AP105" s="198">
        <v>595.20000000000005</v>
      </c>
      <c r="AQ105">
        <v>20</v>
      </c>
      <c r="AR105">
        <v>20</v>
      </c>
      <c r="AS105">
        <v>3</v>
      </c>
      <c r="AT105">
        <v>3.5</v>
      </c>
      <c r="AU105">
        <v>50.75</v>
      </c>
      <c r="AV105">
        <v>150</v>
      </c>
      <c r="AW105">
        <v>29.6</v>
      </c>
      <c r="AY105" s="38" t="b">
        <f t="shared" si="33"/>
        <v>0</v>
      </c>
      <c r="AZ105" s="25" t="b">
        <f t="shared" si="34"/>
        <v>0</v>
      </c>
      <c r="BA105" s="25">
        <f t="shared" si="35"/>
        <v>104</v>
      </c>
      <c r="BB105" s="25">
        <f t="shared" si="36"/>
        <v>104</v>
      </c>
      <c r="BC105" s="25" t="b">
        <f t="shared" si="37"/>
        <v>0</v>
      </c>
      <c r="BI105" s="25">
        <v>3</v>
      </c>
      <c r="BJ105" s="6">
        <v>118</v>
      </c>
      <c r="BK105" s="8">
        <v>1</v>
      </c>
      <c r="BL105" s="9"/>
      <c r="BM105" s="20">
        <f>IF(H24&gt;0,H24,G24)</f>
        <v>83</v>
      </c>
      <c r="BN105" s="9"/>
      <c r="BO105" s="20">
        <f>IF(H20&gt;0,H20,G20)</f>
        <v>120</v>
      </c>
      <c r="BP105" s="14">
        <f t="shared" ref="BP105:BP132" si="41">BP104*1.11</f>
        <v>2.4420000000000006</v>
      </c>
      <c r="BQ105" s="11">
        <f t="shared" ref="BQ105:BQ132" si="42">BQ104*1.1</f>
        <v>1.2100000000000001E-2</v>
      </c>
      <c r="BS105" s="7"/>
      <c r="BT105" s="11">
        <f>IF(BT110=1,BT103,BT104)</f>
        <v>2</v>
      </c>
      <c r="BW105" s="7" t="s">
        <v>673</v>
      </c>
      <c r="BX105" s="25">
        <f>BX104/BT106</f>
        <v>19.500499999999999</v>
      </c>
      <c r="CA105" s="39" t="s">
        <v>553</v>
      </c>
      <c r="CB105" s="61">
        <v>1</v>
      </c>
      <c r="CD105" s="39">
        <v>34</v>
      </c>
      <c r="CE105" s="45">
        <f ca="1">LOOKUP(CB$54,CF$5:DP$5,CF105:DP105)</f>
        <v>0</v>
      </c>
      <c r="CF105" s="45"/>
      <c r="CR105" s="44" t="str">
        <f>CONCATENATE(CD105,FE118)</f>
        <v>34 FN 1: Q2 =+Q2 + +1</v>
      </c>
      <c r="CX105" s="127" t="str">
        <f>CONCATENATE(CD105,FE85)</f>
        <v>34 FN 0: Q2 =+0</v>
      </c>
      <c r="DD105" s="127" t="str">
        <f ca="1">CONCATENATE(CD105,DR82,DS82,DT82,DU82,DV82,DW82)</f>
        <v>34 L IX+2.5 IY-2.5 RL F129</v>
      </c>
      <c r="DM105" s="44" t="str">
        <f>DG66</f>
        <v>G13.1</v>
      </c>
      <c r="DR105" s="25"/>
      <c r="DS105" s="18">
        <f>-DS78-DS87-DS93-DS87</f>
        <v>102.5</v>
      </c>
      <c r="DT105" s="25"/>
      <c r="DU105" s="25"/>
      <c r="DV105" s="25"/>
      <c r="DW105" s="18"/>
      <c r="EB105" s="18"/>
      <c r="ED105" s="46"/>
      <c r="EF105" s="11"/>
      <c r="EJ105" s="18"/>
      <c r="ER105" s="25"/>
      <c r="ES105" s="11"/>
      <c r="ET105" s="25"/>
      <c r="EU105" s="25"/>
      <c r="EV105" s="25"/>
      <c r="EW105" s="18"/>
    </row>
    <row r="106" spans="37:176" ht="16.05" customHeight="1">
      <c r="AK106" s="4">
        <v>105</v>
      </c>
      <c r="AL106" s="4">
        <v>4</v>
      </c>
      <c r="AM106" s="4">
        <v>1</v>
      </c>
      <c r="AN106" s="4">
        <v>1</v>
      </c>
      <c r="AO106" s="197" t="s">
        <v>2207</v>
      </c>
      <c r="AP106" s="198">
        <v>473.8</v>
      </c>
      <c r="AQ106">
        <v>16</v>
      </c>
      <c r="AR106">
        <v>16</v>
      </c>
      <c r="AS106">
        <v>6</v>
      </c>
      <c r="AT106">
        <v>1.5</v>
      </c>
      <c r="AU106">
        <v>35.25</v>
      </c>
      <c r="AV106">
        <v>120</v>
      </c>
      <c r="AW106">
        <v>19.600000000000001</v>
      </c>
      <c r="AY106" s="38">
        <f t="shared" si="33"/>
        <v>105</v>
      </c>
      <c r="AZ106" s="25" t="b">
        <f t="shared" si="34"/>
        <v>0</v>
      </c>
      <c r="BA106" s="25">
        <f t="shared" si="35"/>
        <v>105</v>
      </c>
      <c r="BB106" s="25">
        <f t="shared" si="36"/>
        <v>105</v>
      </c>
      <c r="BC106" s="25" t="b">
        <f t="shared" si="37"/>
        <v>0</v>
      </c>
      <c r="BI106" s="25">
        <v>4</v>
      </c>
      <c r="BJ106" s="6">
        <v>108</v>
      </c>
      <c r="BK106" s="8">
        <v>1</v>
      </c>
      <c r="BL106" s="9"/>
      <c r="BM106" s="9"/>
      <c r="BN106" s="9"/>
      <c r="BP106" s="14">
        <f t="shared" si="41"/>
        <v>2.7106200000000009</v>
      </c>
      <c r="BQ106" s="11">
        <f t="shared" si="42"/>
        <v>1.3310000000000002E-2</v>
      </c>
      <c r="BS106" s="7" t="s">
        <v>861</v>
      </c>
      <c r="BT106" s="12">
        <f>ROUND(BT105,3)</f>
        <v>2</v>
      </c>
      <c r="BW106" s="7" t="s">
        <v>663</v>
      </c>
      <c r="BX106" s="28">
        <f>INT(BX105)</f>
        <v>19</v>
      </c>
      <c r="BZ106" s="25">
        <f>IF(BN129&gt;3,"ERROR",BN129)</f>
        <v>1</v>
      </c>
      <c r="CA106" s="39" t="s">
        <v>909</v>
      </c>
      <c r="CB106" s="33">
        <f>BZ106*10</f>
        <v>10</v>
      </c>
      <c r="CC106" s="33"/>
      <c r="CR106" s="44"/>
      <c r="DQ106" s="49">
        <v>12</v>
      </c>
      <c r="DR106" s="18" t="s">
        <v>1480</v>
      </c>
      <c r="DS106" s="18" t="str">
        <f>SUBSTITUTE(DS105,",",".")</f>
        <v>102.5</v>
      </c>
      <c r="DT106" s="18" t="s">
        <v>826</v>
      </c>
      <c r="DU106" s="25"/>
      <c r="DV106" s="39"/>
      <c r="ED106" s="49">
        <v>12</v>
      </c>
      <c r="EE106" s="18" t="s">
        <v>1484</v>
      </c>
      <c r="EF106" s="18" t="str">
        <f>EG27</f>
        <v>-2.5</v>
      </c>
      <c r="EG106" s="18" t="s">
        <v>826</v>
      </c>
      <c r="EI106" s="39"/>
      <c r="EJ106"/>
      <c r="EQ106" s="49">
        <v>12</v>
      </c>
      <c r="ER106" s="18" t="s">
        <v>1484</v>
      </c>
      <c r="ES106" s="18" t="str">
        <f>ET27</f>
        <v>-2.5</v>
      </c>
      <c r="ET106" s="18" t="s">
        <v>826</v>
      </c>
      <c r="EU106" s="25"/>
      <c r="EV106" s="39"/>
    </row>
    <row r="107" spans="37:176" ht="16.05" customHeight="1">
      <c r="AK107" s="4">
        <v>106</v>
      </c>
      <c r="AL107" s="4">
        <v>4</v>
      </c>
      <c r="AM107" s="4">
        <v>1</v>
      </c>
      <c r="AN107" s="4">
        <v>1</v>
      </c>
      <c r="AO107" s="197" t="s">
        <v>2208</v>
      </c>
      <c r="AP107" s="198">
        <v>473.8</v>
      </c>
      <c r="AQ107">
        <v>16</v>
      </c>
      <c r="AR107">
        <v>16</v>
      </c>
      <c r="AS107">
        <v>5</v>
      </c>
      <c r="AT107">
        <v>2</v>
      </c>
      <c r="AU107">
        <v>39</v>
      </c>
      <c r="AV107">
        <v>120</v>
      </c>
      <c r="AW107">
        <v>19.600000000000001</v>
      </c>
      <c r="AY107" s="38">
        <f t="shared" si="33"/>
        <v>106</v>
      </c>
      <c r="AZ107" s="25">
        <f t="shared" si="34"/>
        <v>106</v>
      </c>
      <c r="BA107" s="25">
        <f t="shared" si="35"/>
        <v>106</v>
      </c>
      <c r="BB107" s="25">
        <f t="shared" si="36"/>
        <v>106</v>
      </c>
      <c r="BC107" s="25">
        <f t="shared" si="37"/>
        <v>106</v>
      </c>
      <c r="BI107" s="25">
        <v>5</v>
      </c>
      <c r="BJ107" s="6">
        <v>83</v>
      </c>
      <c r="BK107" s="8">
        <v>0.9</v>
      </c>
      <c r="BL107" s="9"/>
      <c r="BM107" s="9"/>
      <c r="BN107" s="9"/>
      <c r="BP107" s="14">
        <f t="shared" si="41"/>
        <v>3.0087882000000015</v>
      </c>
      <c r="BQ107" s="11">
        <f t="shared" si="42"/>
        <v>1.4641000000000003E-2</v>
      </c>
      <c r="BS107" s="7"/>
      <c r="BT107" s="10"/>
      <c r="BW107" s="7" t="s">
        <v>953</v>
      </c>
      <c r="BX107" s="35">
        <f>BX106*BT106</f>
        <v>38</v>
      </c>
      <c r="BZ107" s="33" t="str">
        <f>IF(BX109&gt;1,100,"")</f>
        <v/>
      </c>
      <c r="CA107" s="7" t="s">
        <v>938</v>
      </c>
      <c r="CB107" s="33" t="str">
        <f>IF(BX142=2,"",BZ107)</f>
        <v/>
      </c>
      <c r="CC107" s="33"/>
      <c r="CR107" s="44"/>
      <c r="DQ107" s="48"/>
      <c r="EE107"/>
      <c r="EF107"/>
      <c r="EG107"/>
      <c r="EH107"/>
      <c r="EI107"/>
      <c r="EJ107"/>
      <c r="EQ107" s="48"/>
    </row>
    <row r="108" spans="37:176" ht="16.05" customHeight="1">
      <c r="AK108" s="4">
        <v>107</v>
      </c>
      <c r="AL108" s="4">
        <v>4</v>
      </c>
      <c r="AM108" s="4">
        <v>1</v>
      </c>
      <c r="AN108" s="4">
        <v>1</v>
      </c>
      <c r="AO108" s="197" t="s">
        <v>2209</v>
      </c>
      <c r="AP108" s="198">
        <v>473.8</v>
      </c>
      <c r="AQ108">
        <v>16</v>
      </c>
      <c r="AR108">
        <v>16</v>
      </c>
      <c r="AS108">
        <v>3</v>
      </c>
      <c r="AT108">
        <v>3</v>
      </c>
      <c r="AU108">
        <v>52.5</v>
      </c>
      <c r="AV108">
        <v>120</v>
      </c>
      <c r="AW108">
        <v>23.6</v>
      </c>
      <c r="AY108" s="38" t="b">
        <f t="shared" si="33"/>
        <v>0</v>
      </c>
      <c r="AZ108" s="25" t="b">
        <f t="shared" si="34"/>
        <v>0</v>
      </c>
      <c r="BA108" s="25">
        <f t="shared" si="35"/>
        <v>107</v>
      </c>
      <c r="BB108" s="25">
        <f t="shared" si="36"/>
        <v>107</v>
      </c>
      <c r="BC108" s="25" t="b">
        <f t="shared" si="37"/>
        <v>0</v>
      </c>
      <c r="BI108" s="25">
        <v>6</v>
      </c>
      <c r="BJ108" s="6">
        <v>73</v>
      </c>
      <c r="BK108" s="8">
        <v>0.8</v>
      </c>
      <c r="BL108" s="9"/>
      <c r="BM108" s="9"/>
      <c r="BN108" s="9"/>
      <c r="BP108" s="14">
        <f t="shared" si="41"/>
        <v>3.3397549020000019</v>
      </c>
      <c r="BQ108" s="11">
        <f t="shared" si="42"/>
        <v>1.6105100000000004E-2</v>
      </c>
      <c r="BT108" s="19"/>
      <c r="CA108" s="39" t="s">
        <v>910</v>
      </c>
      <c r="CB108" s="33" t="str">
        <f>IF(BX142=2,1000,"")</f>
        <v/>
      </c>
      <c r="CC108" s="33"/>
      <c r="CD108" s="39">
        <v>35</v>
      </c>
      <c r="CE108" s="45">
        <f ca="1">LOOKUP(CB$54,CF$5:DP$5,CF108:DP108)</f>
        <v>0</v>
      </c>
      <c r="CF108" s="45"/>
      <c r="CR108" s="44" t="str">
        <f>CONCATENATE(CD108,FE121)</f>
        <v>35 FN 12: IF +Q2 LT +Q1 GOTO LBL 101</v>
      </c>
      <c r="CX108" s="127" t="str">
        <f>CONCATENATE(CD108,FO175)</f>
        <v>35 LBL 103</v>
      </c>
      <c r="DD108" s="127" t="str">
        <f>CONCATENATE(CD108,DR85,DS85)</f>
        <v>35 CC IX+0 IY+2.5</v>
      </c>
      <c r="DM108" s="44" t="str">
        <f>DL78</f>
        <v>G00 Z78.5</v>
      </c>
      <c r="DQ108" s="48"/>
      <c r="DW108" s="25"/>
      <c r="EE108"/>
      <c r="EF108"/>
      <c r="EG108"/>
      <c r="EH108"/>
      <c r="EI108"/>
      <c r="EQ108" s="48"/>
      <c r="EW108" s="25"/>
    </row>
    <row r="109" spans="37:176" ht="16.05" customHeight="1">
      <c r="AK109" s="4">
        <v>108</v>
      </c>
      <c r="AL109" s="4">
        <v>4</v>
      </c>
      <c r="AM109" s="4">
        <v>1</v>
      </c>
      <c r="AN109" s="4">
        <v>1</v>
      </c>
      <c r="AO109" s="197" t="s">
        <v>2210</v>
      </c>
      <c r="AP109" s="198">
        <v>430.7</v>
      </c>
      <c r="AQ109">
        <v>16</v>
      </c>
      <c r="AR109">
        <v>16</v>
      </c>
      <c r="AS109">
        <v>3</v>
      </c>
      <c r="AT109">
        <v>3</v>
      </c>
      <c r="AU109">
        <v>40.5</v>
      </c>
      <c r="AV109">
        <v>120</v>
      </c>
      <c r="AW109">
        <v>23.6</v>
      </c>
      <c r="AY109" s="38" t="b">
        <f t="shared" si="33"/>
        <v>0</v>
      </c>
      <c r="AZ109" s="25" t="b">
        <f t="shared" si="34"/>
        <v>0</v>
      </c>
      <c r="BA109" s="25">
        <f t="shared" si="35"/>
        <v>108</v>
      </c>
      <c r="BB109" s="25">
        <f t="shared" si="36"/>
        <v>108</v>
      </c>
      <c r="BC109" s="25" t="b">
        <f t="shared" si="37"/>
        <v>0</v>
      </c>
      <c r="BI109" s="25">
        <v>7</v>
      </c>
      <c r="BJ109" s="6">
        <v>40</v>
      </c>
      <c r="BK109" s="8">
        <v>0.7</v>
      </c>
      <c r="BL109" s="9"/>
      <c r="BM109" s="9"/>
      <c r="BN109" s="9"/>
      <c r="BP109" s="14">
        <f t="shared" si="41"/>
        <v>3.7071279412200027</v>
      </c>
      <c r="BQ109" s="11">
        <f t="shared" si="42"/>
        <v>1.7715610000000007E-2</v>
      </c>
      <c r="BW109" s="7" t="s">
        <v>938</v>
      </c>
      <c r="BX109" s="27">
        <f>LOOKUP(C12,BX110:BX119,BW110:BW119)</f>
        <v>1</v>
      </c>
      <c r="CA109" s="39" t="s">
        <v>854</v>
      </c>
      <c r="CB109" s="33" t="str">
        <f>IF(BX142=4,10000,"")</f>
        <v/>
      </c>
      <c r="CC109" s="33"/>
      <c r="CR109" s="44"/>
      <c r="DQ109" s="48"/>
      <c r="DR109" s="25"/>
      <c r="DS109" s="25"/>
      <c r="DT109" s="25"/>
      <c r="DU109" s="25"/>
      <c r="DV109" s="25"/>
      <c r="DW109" s="25"/>
      <c r="EQ109" s="49">
        <v>13</v>
      </c>
      <c r="ER109" s="18" t="s">
        <v>1485</v>
      </c>
      <c r="ES109" s="25" t="str">
        <f>EU30</f>
        <v>2.393</v>
      </c>
      <c r="ET109" s="25" t="str">
        <f>ET82</f>
        <v xml:space="preserve"> IY</v>
      </c>
      <c r="EU109" s="25" t="str">
        <f>EW30</f>
        <v>-2.393</v>
      </c>
      <c r="EV109" s="25" t="str">
        <f>EV82</f>
        <v xml:space="preserve"> RL F</v>
      </c>
      <c r="EW109" s="25">
        <f ca="1">BZ69</f>
        <v>126</v>
      </c>
    </row>
    <row r="110" spans="37:176" ht="16.05" customHeight="1">
      <c r="AK110" s="4">
        <v>109</v>
      </c>
      <c r="AL110" s="4">
        <v>4</v>
      </c>
      <c r="AM110" s="4">
        <v>1</v>
      </c>
      <c r="AN110" s="4">
        <v>1</v>
      </c>
      <c r="AO110" s="197" t="s">
        <v>2211</v>
      </c>
      <c r="AP110" s="198">
        <v>473.8</v>
      </c>
      <c r="AQ110">
        <v>16</v>
      </c>
      <c r="AR110">
        <v>15</v>
      </c>
      <c r="AS110">
        <v>4</v>
      </c>
      <c r="AT110">
        <v>2.5</v>
      </c>
      <c r="AU110">
        <v>53.75</v>
      </c>
      <c r="AV110">
        <v>120</v>
      </c>
      <c r="AW110">
        <v>19.600000000000001</v>
      </c>
      <c r="AY110" s="38">
        <f t="shared" si="33"/>
        <v>109</v>
      </c>
      <c r="AZ110" s="25" t="b">
        <f t="shared" si="34"/>
        <v>0</v>
      </c>
      <c r="BA110" s="25">
        <f t="shared" si="35"/>
        <v>109</v>
      </c>
      <c r="BB110" s="25">
        <f t="shared" si="36"/>
        <v>109</v>
      </c>
      <c r="BC110" s="25" t="b">
        <f t="shared" si="37"/>
        <v>0</v>
      </c>
      <c r="BI110" s="25">
        <v>8</v>
      </c>
      <c r="BJ110" s="6">
        <v>28</v>
      </c>
      <c r="BK110" s="8">
        <v>0.6</v>
      </c>
      <c r="BM110" s="25"/>
      <c r="BP110" s="14">
        <f t="shared" si="41"/>
        <v>4.1149120147542035</v>
      </c>
      <c r="BQ110" s="11">
        <f t="shared" si="42"/>
        <v>1.9487171000000008E-2</v>
      </c>
      <c r="BS110" s="13" t="s">
        <v>908</v>
      </c>
      <c r="BT110" s="61">
        <f>BT10</f>
        <v>1</v>
      </c>
      <c r="BW110" s="25">
        <v>1</v>
      </c>
      <c r="BX110" s="25">
        <v>0</v>
      </c>
      <c r="CA110" s="39" t="s">
        <v>536</v>
      </c>
      <c r="CB110" s="33"/>
      <c r="CC110" s="33"/>
      <c r="CR110" s="44"/>
      <c r="DQ110" s="48"/>
      <c r="DR110" s="25"/>
      <c r="DS110" s="25"/>
      <c r="DT110" s="25"/>
      <c r="DU110" s="25"/>
      <c r="DV110" s="25"/>
      <c r="DW110" s="25"/>
      <c r="EQ110" s="48"/>
      <c r="ER110" s="25"/>
      <c r="ES110" s="25"/>
      <c r="ET110" s="25"/>
      <c r="EU110" s="25"/>
      <c r="EV110" s="25"/>
      <c r="EW110" s="25"/>
    </row>
    <row r="111" spans="37:176" ht="16.05" customHeight="1">
      <c r="AK111" s="4">
        <v>110</v>
      </c>
      <c r="AL111" s="4">
        <v>4</v>
      </c>
      <c r="AM111" s="4">
        <v>1</v>
      </c>
      <c r="AN111" s="4">
        <v>1</v>
      </c>
      <c r="AO111" s="197" t="s">
        <v>2212</v>
      </c>
      <c r="AP111" s="198">
        <v>409.5</v>
      </c>
      <c r="AQ111">
        <v>14</v>
      </c>
      <c r="AR111">
        <v>14</v>
      </c>
      <c r="AS111">
        <v>4</v>
      </c>
      <c r="AT111">
        <v>2.5</v>
      </c>
      <c r="AU111">
        <v>43.75</v>
      </c>
      <c r="AV111">
        <v>100</v>
      </c>
      <c r="AW111">
        <v>19.600000000000001</v>
      </c>
      <c r="AY111" s="38">
        <f t="shared" si="33"/>
        <v>110</v>
      </c>
      <c r="AZ111" s="25" t="b">
        <f t="shared" si="34"/>
        <v>0</v>
      </c>
      <c r="BA111" s="25">
        <f t="shared" si="35"/>
        <v>110</v>
      </c>
      <c r="BB111" s="25">
        <f t="shared" si="36"/>
        <v>110</v>
      </c>
      <c r="BC111" s="25" t="b">
        <f t="shared" si="37"/>
        <v>0</v>
      </c>
      <c r="BI111" s="25">
        <v>9</v>
      </c>
      <c r="BJ111" s="6">
        <v>138</v>
      </c>
      <c r="BK111" s="8">
        <v>1.2</v>
      </c>
      <c r="BM111" s="61">
        <v>17</v>
      </c>
      <c r="BN111" s="7" t="s">
        <v>743</v>
      </c>
      <c r="BP111" s="14">
        <f t="shared" si="41"/>
        <v>4.5675523363771662</v>
      </c>
      <c r="BQ111" s="11">
        <f t="shared" si="42"/>
        <v>2.1435888100000012E-2</v>
      </c>
      <c r="BS111" s="34"/>
      <c r="BW111" s="25">
        <v>2</v>
      </c>
      <c r="BX111" s="35">
        <f>BX104</f>
        <v>39.000999999999998</v>
      </c>
      <c r="BZ111" s="61">
        <v>1</v>
      </c>
      <c r="CA111" s="39" t="s">
        <v>855</v>
      </c>
      <c r="CB111" s="33" t="str">
        <f>IF(BZ111=2,1000000,"")</f>
        <v/>
      </c>
      <c r="CC111" s="33"/>
      <c r="CD111" s="39">
        <v>36</v>
      </c>
      <c r="CE111" s="45">
        <f ca="1">LOOKUP(CB$54,CF$5:DP$5,CF111:DP111)</f>
        <v>0</v>
      </c>
      <c r="CF111" s="45"/>
      <c r="CR111" s="44" t="str">
        <f>CONCATENATE(CD111,EE106,FF124,FG124,EG106)</f>
        <v>36 L IZ+75 FMAX</v>
      </c>
      <c r="CX111" s="127" t="str">
        <f>CONCATENATE(CD111,DR91,DS91,DT91)</f>
        <v>36 CC IX-5 IY+0</v>
      </c>
      <c r="DD111" s="127" t="str">
        <f>CONCATENATE(CD111,DR88,DS88,DT88)</f>
        <v>36 CP IPA+90 IZ+0.25 DR+</v>
      </c>
      <c r="DQ111" s="48"/>
      <c r="DR111" s="25"/>
      <c r="DS111" s="25"/>
      <c r="DT111" s="25"/>
      <c r="DU111" s="25"/>
      <c r="DV111" s="25"/>
      <c r="DW111" s="25"/>
      <c r="EQ111" s="48"/>
      <c r="ER111" s="25"/>
      <c r="ES111" s="25"/>
      <c r="ET111" s="25"/>
      <c r="EU111" s="25"/>
      <c r="EV111" s="25"/>
      <c r="EW111" s="25"/>
    </row>
    <row r="112" spans="37:176" ht="16.05" customHeight="1">
      <c r="AK112" s="4">
        <v>111</v>
      </c>
      <c r="AL112" s="4">
        <v>4</v>
      </c>
      <c r="AM112" s="4">
        <v>1</v>
      </c>
      <c r="AN112" s="4">
        <v>1</v>
      </c>
      <c r="AO112" s="197" t="s">
        <v>2213</v>
      </c>
      <c r="AP112" s="198">
        <v>372.1</v>
      </c>
      <c r="AQ112">
        <v>14</v>
      </c>
      <c r="AR112">
        <v>14</v>
      </c>
      <c r="AS112">
        <v>4</v>
      </c>
      <c r="AT112">
        <v>2.5</v>
      </c>
      <c r="AU112">
        <v>33.75</v>
      </c>
      <c r="AV112">
        <v>100</v>
      </c>
      <c r="AW112">
        <v>19.600000000000001</v>
      </c>
      <c r="AY112" s="38">
        <f t="shared" si="33"/>
        <v>111</v>
      </c>
      <c r="AZ112" s="25" t="b">
        <f t="shared" si="34"/>
        <v>0</v>
      </c>
      <c r="BA112" s="25">
        <f t="shared" si="35"/>
        <v>111</v>
      </c>
      <c r="BB112" s="25">
        <f t="shared" si="36"/>
        <v>111</v>
      </c>
      <c r="BC112" s="25" t="b">
        <f t="shared" si="37"/>
        <v>0</v>
      </c>
      <c r="BI112" s="25">
        <v>10</v>
      </c>
      <c r="BJ112" s="6">
        <v>113</v>
      </c>
      <c r="BK112" s="8">
        <v>1.1000000000000001</v>
      </c>
      <c r="BL112" s="9" t="s">
        <v>785</v>
      </c>
      <c r="BM112" s="23">
        <f>LOOKUP(BM111,AK$2:AK$25,BD$2:BD$25)</f>
        <v>94</v>
      </c>
      <c r="BN112" s="26">
        <f>LOOKUP(BM113,BP103:BP132,BQ103:BQ132)</f>
        <v>6.7274999493256105E-2</v>
      </c>
      <c r="BP112" s="14">
        <f t="shared" si="41"/>
        <v>5.0699830933786547</v>
      </c>
      <c r="BQ112" s="11">
        <f t="shared" si="42"/>
        <v>2.3579476910000015E-2</v>
      </c>
      <c r="BS112" s="34"/>
      <c r="BW112" s="25">
        <v>3</v>
      </c>
      <c r="BX112" s="35">
        <f>BX111+BX107</f>
        <v>77.001000000000005</v>
      </c>
      <c r="CA112" s="39"/>
      <c r="CB112" s="33"/>
      <c r="CR112" s="44"/>
      <c r="EQ112" s="49">
        <v>14</v>
      </c>
      <c r="ER112" s="18" t="s">
        <v>1486</v>
      </c>
      <c r="ES112" s="25" t="str">
        <f>ES109</f>
        <v>2.393</v>
      </c>
      <c r="ET112" s="25"/>
      <c r="EU112" s="25"/>
      <c r="EV112" s="25"/>
      <c r="EW112" s="25"/>
    </row>
    <row r="113" spans="37:168" ht="16.05" customHeight="1">
      <c r="AK113" s="4">
        <v>112</v>
      </c>
      <c r="AL113" s="4">
        <v>4</v>
      </c>
      <c r="AM113" s="4">
        <v>1</v>
      </c>
      <c r="AN113" s="4">
        <v>1</v>
      </c>
      <c r="AO113" s="197" t="s">
        <v>2214</v>
      </c>
      <c r="AP113" s="198">
        <v>362.4</v>
      </c>
      <c r="AQ113">
        <v>12</v>
      </c>
      <c r="AR113">
        <v>12</v>
      </c>
      <c r="AS113">
        <v>4</v>
      </c>
      <c r="AT113">
        <v>2</v>
      </c>
      <c r="AU113">
        <v>43</v>
      </c>
      <c r="AV113">
        <v>100</v>
      </c>
      <c r="AW113">
        <v>15.6</v>
      </c>
      <c r="AY113" s="38">
        <f t="shared" si="33"/>
        <v>112</v>
      </c>
      <c r="AZ113" s="25">
        <f t="shared" si="34"/>
        <v>112</v>
      </c>
      <c r="BA113" s="25">
        <f t="shared" si="35"/>
        <v>112</v>
      </c>
      <c r="BB113" s="25">
        <f t="shared" si="36"/>
        <v>112</v>
      </c>
      <c r="BC113" s="25">
        <f t="shared" si="37"/>
        <v>112</v>
      </c>
      <c r="BI113" s="25">
        <v>11</v>
      </c>
      <c r="BJ113" s="6">
        <v>113</v>
      </c>
      <c r="BK113" s="8">
        <v>1</v>
      </c>
      <c r="BL113" s="9" t="s">
        <v>804</v>
      </c>
      <c r="BM113" s="27">
        <f>IF(H21&gt;0,H21,G21)</f>
        <v>16</v>
      </c>
      <c r="BP113" s="14">
        <f t="shared" si="41"/>
        <v>5.627681233650307</v>
      </c>
      <c r="BQ113" s="11">
        <f t="shared" si="42"/>
        <v>2.5937424601000018E-2</v>
      </c>
      <c r="BS113" s="34"/>
      <c r="BW113" s="25">
        <v>4</v>
      </c>
      <c r="BX113" s="35">
        <f>BX112+BX107</f>
        <v>115.001</v>
      </c>
      <c r="CA113" s="39" t="s">
        <v>608</v>
      </c>
      <c r="CB113" s="33">
        <f>SUM(CB105:CB111)</f>
        <v>11</v>
      </c>
      <c r="CC113" s="33"/>
      <c r="CR113" s="44"/>
      <c r="EQ113" s="48"/>
      <c r="ER113" s="25"/>
      <c r="ES113" s="25"/>
      <c r="ET113" s="25"/>
      <c r="EU113" s="25"/>
      <c r="EV113" s="25"/>
      <c r="EW113" s="25"/>
    </row>
    <row r="114" spans="37:168" ht="16.05" customHeight="1">
      <c r="AK114" s="4">
        <v>113</v>
      </c>
      <c r="AL114" s="4">
        <v>4</v>
      </c>
      <c r="AM114" s="4">
        <v>1</v>
      </c>
      <c r="AN114" s="4">
        <v>1</v>
      </c>
      <c r="AO114" s="197" t="s">
        <v>2215</v>
      </c>
      <c r="AP114" s="198">
        <v>329.3</v>
      </c>
      <c r="AQ114">
        <v>12</v>
      </c>
      <c r="AR114">
        <v>12</v>
      </c>
      <c r="AS114">
        <v>4</v>
      </c>
      <c r="AT114">
        <v>2</v>
      </c>
      <c r="AU114">
        <v>35</v>
      </c>
      <c r="AV114">
        <v>100</v>
      </c>
      <c r="AW114">
        <v>15.6</v>
      </c>
      <c r="AY114" s="38">
        <f t="shared" si="33"/>
        <v>113</v>
      </c>
      <c r="AZ114" s="25">
        <f t="shared" si="34"/>
        <v>113</v>
      </c>
      <c r="BA114" s="25">
        <f t="shared" si="35"/>
        <v>113</v>
      </c>
      <c r="BB114" s="25">
        <f t="shared" si="36"/>
        <v>113</v>
      </c>
      <c r="BC114" s="25">
        <f t="shared" si="37"/>
        <v>113</v>
      </c>
      <c r="BI114" s="25">
        <v>12</v>
      </c>
      <c r="BJ114" s="6">
        <v>90</v>
      </c>
      <c r="BK114" s="8">
        <v>0.9</v>
      </c>
      <c r="BP114" s="14">
        <f t="shared" si="41"/>
        <v>6.2467261693518417</v>
      </c>
      <c r="BQ114" s="11">
        <f t="shared" si="42"/>
        <v>2.8531167061100021E-2</v>
      </c>
      <c r="BW114" s="25">
        <v>5</v>
      </c>
      <c r="BX114" s="35">
        <f>BX113+BX107</f>
        <v>153.001</v>
      </c>
      <c r="CA114" s="33"/>
      <c r="CB114" s="33"/>
      <c r="CC114" s="33"/>
      <c r="CD114" s="39">
        <v>37</v>
      </c>
      <c r="CE114" s="45">
        <f ca="1">LOOKUP(CB$54,CF$5:DP$5,CF114:DP114)</f>
        <v>0</v>
      </c>
      <c r="CF114" s="45"/>
      <c r="CR114" s="44"/>
      <c r="CX114" s="127" t="str">
        <f>CONCATENATE(CD114,DR94,DS94,DT94)</f>
        <v>37 CP IPA+360 IZ+2 DR+</v>
      </c>
      <c r="DD114" s="127" t="str">
        <f>CONCATENATE(CD114,DR91,GB18,FT91,GD18)</f>
        <v>37 CC IX-5 IY+0.016</v>
      </c>
      <c r="EQ114" s="48"/>
      <c r="ER114" s="25"/>
      <c r="ES114" s="25"/>
      <c r="ET114" s="25"/>
      <c r="EU114" s="25"/>
      <c r="EV114" s="25"/>
      <c r="EW114" s="25"/>
      <c r="FF114" s="121">
        <f>BX7-(BT6*1.25)</f>
        <v>27.5</v>
      </c>
    </row>
    <row r="115" spans="37:168" ht="16.05" customHeight="1">
      <c r="AK115" s="4">
        <v>114</v>
      </c>
      <c r="AL115" s="4">
        <v>4</v>
      </c>
      <c r="AM115" s="4">
        <v>1</v>
      </c>
      <c r="AN115" s="4">
        <v>1</v>
      </c>
      <c r="AO115" s="197" t="s">
        <v>2216</v>
      </c>
      <c r="AP115" s="198">
        <v>329.6</v>
      </c>
      <c r="AQ115">
        <v>12</v>
      </c>
      <c r="AR115">
        <v>12</v>
      </c>
      <c r="AS115">
        <v>4</v>
      </c>
      <c r="AT115">
        <v>1.5</v>
      </c>
      <c r="AU115">
        <v>29.25</v>
      </c>
      <c r="AV115">
        <v>100</v>
      </c>
      <c r="AW115">
        <v>15.6</v>
      </c>
      <c r="AY115" s="38">
        <f t="shared" si="33"/>
        <v>114</v>
      </c>
      <c r="AZ115" s="25" t="b">
        <f t="shared" si="34"/>
        <v>0</v>
      </c>
      <c r="BA115" s="25">
        <f t="shared" si="35"/>
        <v>114</v>
      </c>
      <c r="BB115" s="25">
        <f t="shared" si="36"/>
        <v>114</v>
      </c>
      <c r="BC115" s="25" t="b">
        <f t="shared" si="37"/>
        <v>0</v>
      </c>
      <c r="BI115" s="25">
        <v>13</v>
      </c>
      <c r="BJ115" s="6">
        <v>138</v>
      </c>
      <c r="BK115" s="8">
        <v>1</v>
      </c>
      <c r="BL115" s="9" t="s">
        <v>806</v>
      </c>
      <c r="BM115" s="27">
        <f>IF(H23&gt;0,H23,G23)</f>
        <v>5</v>
      </c>
      <c r="BP115" s="14">
        <f t="shared" si="41"/>
        <v>6.933866047980545</v>
      </c>
      <c r="BQ115" s="11">
        <f t="shared" si="42"/>
        <v>3.1384283767210024E-2</v>
      </c>
      <c r="BW115" s="25">
        <v>6</v>
      </c>
      <c r="BX115" s="35">
        <f>BX114+BX107</f>
        <v>191.001</v>
      </c>
      <c r="CA115" s="33">
        <v>10111</v>
      </c>
      <c r="CB115" s="33">
        <f t="shared" ref="CB115:CB138" si="43">(IF(CB$113=CA115,CB$113,0))</f>
        <v>0</v>
      </c>
      <c r="CC115" s="33"/>
      <c r="CR115" s="44"/>
      <c r="EQ115" s="48"/>
      <c r="ER115" s="25"/>
      <c r="ES115" s="25"/>
      <c r="ET115" s="25"/>
      <c r="EU115" s="25"/>
      <c r="EV115" s="25"/>
      <c r="EW115" s="25"/>
      <c r="FD115" s="49">
        <v>15</v>
      </c>
      <c r="FF115" s="122" t="str">
        <f>SUBSTITUTE(FF114,",",".")</f>
        <v>27.5</v>
      </c>
    </row>
    <row r="116" spans="37:168" ht="16.05" customHeight="1">
      <c r="AK116" s="4">
        <v>115</v>
      </c>
      <c r="AL116" s="4">
        <v>4</v>
      </c>
      <c r="AM116" s="4">
        <v>1</v>
      </c>
      <c r="AN116" s="4">
        <v>1</v>
      </c>
      <c r="AO116" s="197" t="s">
        <v>2217</v>
      </c>
      <c r="AP116" s="198">
        <v>299.60000000000002</v>
      </c>
      <c r="AQ116">
        <v>12</v>
      </c>
      <c r="AR116">
        <v>12</v>
      </c>
      <c r="AS116">
        <v>4</v>
      </c>
      <c r="AT116">
        <v>2</v>
      </c>
      <c r="AU116">
        <v>27</v>
      </c>
      <c r="AV116">
        <v>100</v>
      </c>
      <c r="AW116">
        <v>15.6</v>
      </c>
      <c r="AY116" s="38">
        <f t="shared" si="33"/>
        <v>115</v>
      </c>
      <c r="AZ116" s="25">
        <f t="shared" si="34"/>
        <v>115</v>
      </c>
      <c r="BA116" s="25">
        <f t="shared" si="35"/>
        <v>115</v>
      </c>
      <c r="BB116" s="25">
        <f t="shared" si="36"/>
        <v>115</v>
      </c>
      <c r="BC116" s="25">
        <f t="shared" si="37"/>
        <v>115</v>
      </c>
      <c r="BI116" s="25">
        <v>14</v>
      </c>
      <c r="BJ116" s="6">
        <v>103</v>
      </c>
      <c r="BK116" s="8">
        <v>0.9</v>
      </c>
      <c r="BM116" s="10"/>
      <c r="BN116" s="11"/>
      <c r="BP116" s="14">
        <f t="shared" si="41"/>
        <v>7.6965913132584056</v>
      </c>
      <c r="BQ116" s="11">
        <f t="shared" si="42"/>
        <v>3.4522712143931031E-2</v>
      </c>
      <c r="BW116" s="25">
        <v>7</v>
      </c>
      <c r="BX116" s="35">
        <f>BX115+BX107</f>
        <v>229.001</v>
      </c>
      <c r="CA116" s="33">
        <v>10112</v>
      </c>
      <c r="CB116" s="33">
        <f t="shared" si="43"/>
        <v>0</v>
      </c>
      <c r="CR116" s="44"/>
      <c r="EQ116" s="48"/>
      <c r="ER116" s="25"/>
      <c r="ES116" s="25"/>
      <c r="ET116" s="25"/>
      <c r="EU116" s="25"/>
      <c r="EV116" s="25"/>
      <c r="EW116" s="25"/>
    </row>
    <row r="117" spans="37:168" ht="16.05" customHeight="1">
      <c r="AK117" s="4">
        <v>116</v>
      </c>
      <c r="AL117" s="4">
        <v>4</v>
      </c>
      <c r="AM117" s="4">
        <v>1</v>
      </c>
      <c r="AN117" s="4">
        <v>1</v>
      </c>
      <c r="AO117" s="197" t="s">
        <v>2218</v>
      </c>
      <c r="AP117" s="198">
        <v>398.7</v>
      </c>
      <c r="AQ117">
        <v>12</v>
      </c>
      <c r="AR117">
        <v>12</v>
      </c>
      <c r="AS117">
        <v>3</v>
      </c>
      <c r="AT117">
        <v>2</v>
      </c>
      <c r="AU117">
        <v>51</v>
      </c>
      <c r="AV117">
        <v>100</v>
      </c>
      <c r="AW117">
        <v>15.6</v>
      </c>
      <c r="AY117" s="38">
        <f t="shared" si="33"/>
        <v>116</v>
      </c>
      <c r="AZ117" s="25">
        <f t="shared" si="34"/>
        <v>116</v>
      </c>
      <c r="BA117" s="25">
        <f t="shared" si="35"/>
        <v>116</v>
      </c>
      <c r="BB117" s="25">
        <f t="shared" si="36"/>
        <v>116</v>
      </c>
      <c r="BC117" s="25">
        <f t="shared" si="37"/>
        <v>116</v>
      </c>
      <c r="BI117" s="25">
        <v>15</v>
      </c>
      <c r="BJ117" s="6">
        <v>90</v>
      </c>
      <c r="BK117" s="8">
        <v>0.8</v>
      </c>
      <c r="BM117" s="10"/>
      <c r="BN117" s="11"/>
      <c r="BP117" s="14">
        <f t="shared" si="41"/>
        <v>8.5432163577168314</v>
      </c>
      <c r="BQ117" s="11">
        <f t="shared" si="42"/>
        <v>3.7974983358324138E-2</v>
      </c>
      <c r="BS117" s="10"/>
      <c r="BT117" s="10">
        <f>278*C10/G29</f>
        <v>10.880626223091976</v>
      </c>
      <c r="BW117" s="25">
        <v>8</v>
      </c>
      <c r="BX117" s="35">
        <f>BX116+BX107</f>
        <v>267.00099999999998</v>
      </c>
      <c r="CA117" s="33">
        <v>10121</v>
      </c>
      <c r="CB117" s="33">
        <f t="shared" si="43"/>
        <v>0</v>
      </c>
      <c r="CD117" s="9">
        <v>38</v>
      </c>
      <c r="CE117" s="45">
        <f ca="1">LOOKUP(CB$54,CF$5:DP$5,CF117:DP117)</f>
        <v>0</v>
      </c>
      <c r="CF117" s="45"/>
      <c r="CR117" s="44"/>
      <c r="CX117" s="127" t="str">
        <f>CONCATENATE(CD117,FE118)</f>
        <v>38 FN 1: Q2 =+Q2 + +1</v>
      </c>
      <c r="DD117" s="127" t="str">
        <f>CONCATENATE(CD117,DR88,FZ18,DT88)</f>
        <v>38 CP IPA+90 IZ+0.5 DR+</v>
      </c>
      <c r="EQ117" s="48"/>
      <c r="ER117" s="25"/>
      <c r="ES117" s="25"/>
      <c r="ET117" s="25"/>
      <c r="EU117" s="25"/>
      <c r="EV117" s="25"/>
      <c r="EW117" s="25"/>
    </row>
    <row r="118" spans="37:168" ht="16.05" customHeight="1">
      <c r="AK118" s="4">
        <v>117</v>
      </c>
      <c r="AL118" s="4">
        <v>4</v>
      </c>
      <c r="AM118" s="4">
        <v>1</v>
      </c>
      <c r="AN118" s="4">
        <v>1</v>
      </c>
      <c r="AO118" s="197" t="s">
        <v>2219</v>
      </c>
      <c r="AP118" s="198">
        <v>280.39999999999998</v>
      </c>
      <c r="AQ118">
        <v>10</v>
      </c>
      <c r="AR118">
        <v>10</v>
      </c>
      <c r="AS118">
        <v>3</v>
      </c>
      <c r="AT118">
        <v>2</v>
      </c>
      <c r="AU118">
        <v>31</v>
      </c>
      <c r="AV118">
        <v>100</v>
      </c>
      <c r="AW118">
        <v>13.6</v>
      </c>
      <c r="AY118" s="38">
        <f t="shared" si="33"/>
        <v>117</v>
      </c>
      <c r="AZ118" s="25">
        <f t="shared" si="34"/>
        <v>117</v>
      </c>
      <c r="BA118" s="25">
        <f t="shared" si="35"/>
        <v>117</v>
      </c>
      <c r="BB118" s="25">
        <f t="shared" si="36"/>
        <v>117</v>
      </c>
      <c r="BC118" s="25">
        <f t="shared" si="37"/>
        <v>117</v>
      </c>
      <c r="BI118" s="25">
        <v>16</v>
      </c>
      <c r="BJ118" s="6">
        <v>63</v>
      </c>
      <c r="BK118" s="8">
        <v>0.8</v>
      </c>
      <c r="BM118" s="10"/>
      <c r="BN118" s="11"/>
      <c r="BP118" s="14">
        <f t="shared" si="41"/>
        <v>9.482970157065683</v>
      </c>
      <c r="BQ118" s="11">
        <f t="shared" si="42"/>
        <v>4.1772481694156552E-2</v>
      </c>
      <c r="BS118" s="10"/>
      <c r="BT118" s="10">
        <f>ROUND(BT117,1)</f>
        <v>10.9</v>
      </c>
      <c r="BW118" s="25">
        <v>9</v>
      </c>
      <c r="BX118" s="35">
        <f>BX117+BX107</f>
        <v>305.00099999999998</v>
      </c>
      <c r="CA118" s="33">
        <v>10122</v>
      </c>
      <c r="CB118" s="33">
        <f t="shared" si="43"/>
        <v>0</v>
      </c>
      <c r="CR118" s="44"/>
      <c r="EQ118" s="49">
        <v>16</v>
      </c>
      <c r="ER118" s="18" t="s">
        <v>1488</v>
      </c>
      <c r="ES118" s="25" t="str">
        <f>EZ36</f>
        <v>-4.786</v>
      </c>
      <c r="ET118" s="25" t="str">
        <f>ET91</f>
        <v xml:space="preserve"> IY+0</v>
      </c>
      <c r="EU118" s="25"/>
      <c r="EV118" s="25"/>
      <c r="EW118" s="25"/>
      <c r="FD118" s="49">
        <v>16</v>
      </c>
      <c r="FE118" s="126" t="s">
        <v>1541</v>
      </c>
    </row>
    <row r="119" spans="37:168" ht="16.05" customHeight="1">
      <c r="AK119" s="4">
        <v>118</v>
      </c>
      <c r="AL119" s="4">
        <v>4</v>
      </c>
      <c r="AM119" s="4">
        <v>1</v>
      </c>
      <c r="AN119" s="4">
        <v>1</v>
      </c>
      <c r="AO119" s="197" t="s">
        <v>2220</v>
      </c>
      <c r="AP119" s="198">
        <v>255</v>
      </c>
      <c r="AQ119">
        <v>10</v>
      </c>
      <c r="AR119">
        <v>10</v>
      </c>
      <c r="AS119">
        <v>3</v>
      </c>
      <c r="AT119">
        <v>2</v>
      </c>
      <c r="AU119">
        <v>23</v>
      </c>
      <c r="AV119">
        <v>100</v>
      </c>
      <c r="AW119">
        <v>13.6</v>
      </c>
      <c r="AY119" s="38">
        <f t="shared" si="33"/>
        <v>118</v>
      </c>
      <c r="AZ119" s="25">
        <f t="shared" si="34"/>
        <v>118</v>
      </c>
      <c r="BA119" s="25" t="b">
        <f t="shared" si="35"/>
        <v>0</v>
      </c>
      <c r="BB119" s="25">
        <f t="shared" si="36"/>
        <v>118</v>
      </c>
      <c r="BC119" s="25" t="b">
        <f t="shared" si="37"/>
        <v>0</v>
      </c>
      <c r="BI119" s="25">
        <v>17</v>
      </c>
      <c r="BJ119" s="6">
        <v>55</v>
      </c>
      <c r="BK119" s="8">
        <v>0.7</v>
      </c>
      <c r="BM119" s="10"/>
      <c r="BN119" s="11"/>
      <c r="BP119" s="14">
        <f t="shared" si="41"/>
        <v>10.52609687434291</v>
      </c>
      <c r="BQ119" s="11">
        <f t="shared" si="42"/>
        <v>4.5949729863572208E-2</v>
      </c>
      <c r="BS119" s="10"/>
      <c r="BT119" s="10">
        <f>ROUND(BT117,0)</f>
        <v>11</v>
      </c>
      <c r="BW119" s="25">
        <v>10</v>
      </c>
      <c r="BX119" s="35">
        <f>BX118+BX107</f>
        <v>343.00099999999998</v>
      </c>
      <c r="CA119" s="33">
        <v>10131</v>
      </c>
      <c r="CB119" s="33">
        <f t="shared" si="43"/>
        <v>0</v>
      </c>
      <c r="CR119" s="44"/>
      <c r="EQ119" s="48"/>
      <c r="ER119" s="25"/>
      <c r="ES119" s="25"/>
      <c r="ET119" s="25"/>
      <c r="EU119" s="25"/>
      <c r="EV119" s="25"/>
      <c r="EW119" s="25"/>
    </row>
    <row r="120" spans="37:168" ht="16.05" customHeight="1">
      <c r="AK120" s="4">
        <v>119</v>
      </c>
      <c r="AL120" s="4">
        <v>4</v>
      </c>
      <c r="AM120" s="4">
        <v>1</v>
      </c>
      <c r="AN120" s="4">
        <v>1</v>
      </c>
      <c r="AO120" s="197" t="s">
        <v>2221</v>
      </c>
      <c r="AP120" s="198">
        <v>339.4</v>
      </c>
      <c r="AQ120">
        <v>10</v>
      </c>
      <c r="AR120">
        <v>9</v>
      </c>
      <c r="AS120">
        <v>3</v>
      </c>
      <c r="AT120">
        <v>1.75</v>
      </c>
      <c r="AU120">
        <v>37.619999999999997</v>
      </c>
      <c r="AV120">
        <v>100</v>
      </c>
      <c r="AW120">
        <v>11.6</v>
      </c>
      <c r="AY120" s="38">
        <f t="shared" si="33"/>
        <v>119</v>
      </c>
      <c r="AZ120" s="25" t="b">
        <f t="shared" si="34"/>
        <v>0</v>
      </c>
      <c r="BA120" s="25">
        <f t="shared" si="35"/>
        <v>119</v>
      </c>
      <c r="BB120" s="25">
        <f t="shared" si="36"/>
        <v>119</v>
      </c>
      <c r="BC120" s="25" t="b">
        <f t="shared" si="37"/>
        <v>0</v>
      </c>
      <c r="BI120" s="25">
        <v>18</v>
      </c>
      <c r="BJ120" s="6">
        <v>35</v>
      </c>
      <c r="BK120" s="8">
        <v>0.6</v>
      </c>
      <c r="BM120" s="10"/>
      <c r="BN120" s="11"/>
      <c r="BP120" s="14">
        <f t="shared" si="41"/>
        <v>11.683967530520631</v>
      </c>
      <c r="BQ120" s="11">
        <f t="shared" si="42"/>
        <v>5.0544702849929436E-2</v>
      </c>
      <c r="BS120" s="10"/>
      <c r="BT120" s="33"/>
      <c r="BX120" s="35"/>
      <c r="CA120" s="33">
        <v>10132</v>
      </c>
      <c r="CB120" s="33">
        <f t="shared" si="43"/>
        <v>0</v>
      </c>
      <c r="CD120" s="9">
        <v>39</v>
      </c>
      <c r="CE120" s="45">
        <f ca="1">LOOKUP(CB$54,CF$5:DP$5,CF120:DP120)</f>
        <v>0</v>
      </c>
      <c r="CF120" s="45"/>
      <c r="CR120" s="44"/>
      <c r="CX120" s="127" t="str">
        <f>CONCATENATE(CD120,FO187)</f>
        <v>39 FN 12: IF +Q2 LT +Q1 GOTO LBL 103</v>
      </c>
      <c r="DD120" s="127" t="str">
        <f>CONCATENATE(CD120,DR91,GB21,DT82,GD21)</f>
        <v>39 CC IX-0.016 IY-5.016</v>
      </c>
      <c r="EQ120" s="48"/>
      <c r="ER120" s="25"/>
      <c r="ES120" s="25"/>
      <c r="ET120" s="25"/>
      <c r="EU120" s="25"/>
      <c r="EV120" s="25"/>
      <c r="EW120" s="25"/>
      <c r="FK120" s="25"/>
      <c r="FL120" s="25">
        <f>FL40</f>
        <v>78.5</v>
      </c>
    </row>
    <row r="121" spans="37:168" ht="16.05" customHeight="1">
      <c r="AK121" s="4">
        <v>120</v>
      </c>
      <c r="AL121" s="4">
        <v>4</v>
      </c>
      <c r="AM121" s="4">
        <v>1</v>
      </c>
      <c r="AN121" s="4">
        <v>1</v>
      </c>
      <c r="AO121" s="197" t="s">
        <v>2222</v>
      </c>
      <c r="AP121" s="198">
        <v>308.5</v>
      </c>
      <c r="AQ121">
        <v>10</v>
      </c>
      <c r="AR121">
        <v>9</v>
      </c>
      <c r="AS121">
        <v>3</v>
      </c>
      <c r="AT121">
        <v>1.75</v>
      </c>
      <c r="AU121">
        <v>32.369999999999997</v>
      </c>
      <c r="AV121">
        <v>100</v>
      </c>
      <c r="AW121">
        <v>11.6</v>
      </c>
      <c r="AY121" s="38">
        <f t="shared" si="33"/>
        <v>120</v>
      </c>
      <c r="AZ121" s="25" t="b">
        <f t="shared" si="34"/>
        <v>0</v>
      </c>
      <c r="BA121" s="25">
        <f t="shared" si="35"/>
        <v>120</v>
      </c>
      <c r="BB121" s="25">
        <f t="shared" si="36"/>
        <v>120</v>
      </c>
      <c r="BC121" s="25" t="b">
        <f t="shared" si="37"/>
        <v>0</v>
      </c>
      <c r="BI121" s="25">
        <v>19</v>
      </c>
      <c r="BJ121" s="6">
        <v>90</v>
      </c>
      <c r="BK121" s="8">
        <v>0.8</v>
      </c>
      <c r="BM121" s="10"/>
      <c r="BN121" s="11"/>
      <c r="BP121" s="14">
        <f t="shared" si="41"/>
        <v>12.969203958877902</v>
      </c>
      <c r="BQ121" s="11">
        <f t="shared" si="42"/>
        <v>5.5599173134922387E-2</v>
      </c>
      <c r="BS121" s="7" t="s">
        <v>768</v>
      </c>
      <c r="BT121" s="20">
        <f>IF(BT117&gt;=10,BT119,BT118)</f>
        <v>11</v>
      </c>
      <c r="CA121" s="33">
        <v>1000012</v>
      </c>
      <c r="CB121" s="33">
        <f t="shared" si="43"/>
        <v>0</v>
      </c>
      <c r="CR121" s="44"/>
      <c r="EQ121" s="48"/>
      <c r="ER121" s="25"/>
      <c r="ES121" s="25"/>
      <c r="ET121" s="25"/>
      <c r="EU121" s="25"/>
      <c r="EV121" s="25"/>
      <c r="EW121" s="25"/>
      <c r="FD121" s="118">
        <v>17</v>
      </c>
      <c r="FE121" s="126" t="s">
        <v>1542</v>
      </c>
      <c r="FI121" s="118">
        <v>17</v>
      </c>
      <c r="FK121" s="121" t="str">
        <f>IF(FL120&lt;0,"","+")</f>
        <v>+</v>
      </c>
      <c r="FL121" s="122" t="str">
        <f>SUBSTITUTE(FL120,",",".")</f>
        <v>78.5</v>
      </c>
    </row>
    <row r="122" spans="37:168" ht="16.05" customHeight="1">
      <c r="AK122" s="4">
        <v>121</v>
      </c>
      <c r="AL122" s="4">
        <v>4</v>
      </c>
      <c r="AM122" s="4">
        <v>1</v>
      </c>
      <c r="AN122" s="4">
        <v>1</v>
      </c>
      <c r="AO122" s="197" t="s">
        <v>2223</v>
      </c>
      <c r="AP122" s="198">
        <v>280.39999999999998</v>
      </c>
      <c r="AQ122">
        <v>10</v>
      </c>
      <c r="AR122">
        <v>9</v>
      </c>
      <c r="AS122">
        <v>3</v>
      </c>
      <c r="AT122">
        <v>1.75</v>
      </c>
      <c r="AU122">
        <v>27.12</v>
      </c>
      <c r="AV122">
        <v>100</v>
      </c>
      <c r="AW122">
        <v>11.6</v>
      </c>
      <c r="AY122" s="38">
        <f t="shared" si="33"/>
        <v>121</v>
      </c>
      <c r="AZ122" s="25" t="b">
        <f t="shared" si="34"/>
        <v>0</v>
      </c>
      <c r="BA122" s="25">
        <f t="shared" si="35"/>
        <v>121</v>
      </c>
      <c r="BB122" s="25">
        <f t="shared" si="36"/>
        <v>121</v>
      </c>
      <c r="BC122" s="25" t="b">
        <f t="shared" si="37"/>
        <v>0</v>
      </c>
      <c r="BI122" s="25">
        <v>20</v>
      </c>
      <c r="BJ122" s="6">
        <v>63</v>
      </c>
      <c r="BK122" s="8">
        <v>0.7</v>
      </c>
      <c r="BM122" s="10"/>
      <c r="BN122" s="11"/>
      <c r="BP122" s="14">
        <f t="shared" si="41"/>
        <v>14.395816394354473</v>
      </c>
      <c r="BQ122" s="11">
        <f t="shared" si="42"/>
        <v>6.1159090448414631E-2</v>
      </c>
      <c r="CA122" s="33">
        <v>1000022</v>
      </c>
      <c r="CB122" s="33">
        <f t="shared" si="43"/>
        <v>0</v>
      </c>
      <c r="CR122" s="44"/>
      <c r="EQ122" s="48"/>
      <c r="ER122" s="25"/>
      <c r="ES122" s="25"/>
      <c r="ET122" s="25"/>
      <c r="EU122" s="25"/>
      <c r="EV122" s="25"/>
      <c r="EW122" s="25"/>
    </row>
    <row r="123" spans="37:168" ht="16.05" customHeight="1">
      <c r="AK123" s="4">
        <v>122</v>
      </c>
      <c r="AL123" s="4">
        <v>4</v>
      </c>
      <c r="AM123" s="4">
        <v>1</v>
      </c>
      <c r="AN123" s="4">
        <v>1</v>
      </c>
      <c r="AO123" s="197" t="s">
        <v>2224</v>
      </c>
      <c r="AP123" s="198">
        <v>255</v>
      </c>
      <c r="AQ123">
        <v>10</v>
      </c>
      <c r="AR123">
        <v>9</v>
      </c>
      <c r="AS123">
        <v>3</v>
      </c>
      <c r="AT123">
        <v>1.75</v>
      </c>
      <c r="AU123">
        <v>20.12</v>
      </c>
      <c r="AV123">
        <v>100</v>
      </c>
      <c r="AW123">
        <v>11.6</v>
      </c>
      <c r="AY123" s="38">
        <f t="shared" si="33"/>
        <v>122</v>
      </c>
      <c r="AZ123" s="25" t="b">
        <f t="shared" si="34"/>
        <v>0</v>
      </c>
      <c r="BA123" s="25" t="b">
        <f t="shared" si="35"/>
        <v>0</v>
      </c>
      <c r="BB123" s="25">
        <f t="shared" si="36"/>
        <v>122</v>
      </c>
      <c r="BC123" s="25" t="b">
        <f t="shared" si="37"/>
        <v>0</v>
      </c>
      <c r="BI123" s="25">
        <v>21</v>
      </c>
      <c r="BJ123" s="6">
        <v>55</v>
      </c>
      <c r="BK123" s="8">
        <v>0.6</v>
      </c>
      <c r="BM123" s="7" t="s">
        <v>780</v>
      </c>
      <c r="BN123" s="11">
        <f>BN103*BS165*BN112</f>
        <v>6.1903371641000252E-2</v>
      </c>
      <c r="BP123" s="14">
        <f t="shared" si="41"/>
        <v>15.979356197733466</v>
      </c>
      <c r="BQ123" s="11">
        <f t="shared" si="42"/>
        <v>6.7274999493256105E-2</v>
      </c>
      <c r="BS123" s="7" t="s">
        <v>791</v>
      </c>
      <c r="BT123" s="21">
        <f>IF(BN129=1,BT121*BX109,IF(BN129=2,CA164*BX109,IF(BN129=3,CA171*BX109)))</f>
        <v>11</v>
      </c>
      <c r="CA123" s="33">
        <v>1000032</v>
      </c>
      <c r="CB123" s="33">
        <f t="shared" si="43"/>
        <v>0</v>
      </c>
      <c r="CD123" s="9">
        <v>40</v>
      </c>
      <c r="CE123" s="45">
        <f ca="1">LOOKUP(CB$54,CF$5:DP$5,CF123:DP123)</f>
        <v>0</v>
      </c>
      <c r="CF123" s="45"/>
      <c r="CR123" s="44"/>
      <c r="CX123" s="127" t="str">
        <f>CONCATENATE(CD123,DR97,DS97,DT97)</f>
        <v>40 CC IX-2.5 IY+0</v>
      </c>
      <c r="DD123" s="127" t="str">
        <f>CONCATENATE(CD123,DR88,FZ21,DT88)</f>
        <v>40 CP IPA+90 IZ+0.5 DR+</v>
      </c>
      <c r="EQ123" s="48"/>
      <c r="ER123" s="25"/>
      <c r="ES123" s="25"/>
      <c r="ET123" s="25"/>
      <c r="EU123" s="25"/>
      <c r="EV123" s="25"/>
      <c r="EW123" s="25"/>
      <c r="FG123" s="121">
        <f>ROUND((C12+C13)-(BX9*BX7),3)</f>
        <v>75</v>
      </c>
    </row>
    <row r="124" spans="37:168" ht="16.05" customHeight="1">
      <c r="AK124" s="4">
        <v>123</v>
      </c>
      <c r="AL124" s="4">
        <v>4</v>
      </c>
      <c r="AM124" s="4">
        <v>1</v>
      </c>
      <c r="AN124" s="4">
        <v>1</v>
      </c>
      <c r="AO124" s="197" t="s">
        <v>2225</v>
      </c>
      <c r="AP124" s="198">
        <v>220.6</v>
      </c>
      <c r="AQ124">
        <v>8</v>
      </c>
      <c r="AR124">
        <v>8</v>
      </c>
      <c r="AS124">
        <v>4</v>
      </c>
      <c r="AT124">
        <v>1</v>
      </c>
      <c r="AU124">
        <v>17.5</v>
      </c>
      <c r="AV124">
        <v>76</v>
      </c>
      <c r="AW124">
        <v>9.8000000000000007</v>
      </c>
      <c r="AY124" s="38">
        <f t="shared" si="33"/>
        <v>123</v>
      </c>
      <c r="AZ124" s="25" t="b">
        <f t="shared" si="34"/>
        <v>0</v>
      </c>
      <c r="BA124" s="25" t="b">
        <f t="shared" si="35"/>
        <v>0</v>
      </c>
      <c r="BB124" s="25">
        <f t="shared" si="36"/>
        <v>123</v>
      </c>
      <c r="BC124" s="25" t="b">
        <f t="shared" si="37"/>
        <v>0</v>
      </c>
      <c r="BI124" s="25">
        <v>22</v>
      </c>
      <c r="BJ124" s="6">
        <v>180</v>
      </c>
      <c r="BK124" s="8">
        <v>1</v>
      </c>
      <c r="BM124" s="7" t="s">
        <v>810</v>
      </c>
      <c r="BN124" s="11">
        <f>BN123*1.6</f>
        <v>9.9045394625600414E-2</v>
      </c>
      <c r="BP124" s="14">
        <f t="shared" si="41"/>
        <v>17.737085379484149</v>
      </c>
      <c r="BQ124" s="11">
        <f t="shared" si="42"/>
        <v>7.4002499442581721E-2</v>
      </c>
      <c r="BT124" s="21">
        <f>IF(D121&gt;0,BT123/BX109,BT123)</f>
        <v>11</v>
      </c>
      <c r="CA124" s="33">
        <v>1000112</v>
      </c>
      <c r="CB124" s="33">
        <f t="shared" si="43"/>
        <v>0</v>
      </c>
      <c r="CR124" s="44"/>
      <c r="EQ124" s="118">
        <v>18</v>
      </c>
      <c r="ER124" s="18" t="s">
        <v>1488</v>
      </c>
      <c r="ES124" s="25" t="str">
        <f>EU109</f>
        <v>-2.393</v>
      </c>
      <c r="ET124" s="25" t="str">
        <f>ET97</f>
        <v xml:space="preserve"> IY+0</v>
      </c>
      <c r="EU124" s="25"/>
      <c r="EV124" s="25"/>
      <c r="EW124" s="25"/>
      <c r="FD124" s="118">
        <v>18</v>
      </c>
      <c r="FF124" s="121" t="str">
        <f>IF(FG123&lt;0,"","+")</f>
        <v>+</v>
      </c>
      <c r="FG124" s="122" t="str">
        <f>SUBSTITUTE(FG123,",",".")</f>
        <v>75</v>
      </c>
    </row>
    <row r="125" spans="37:168" ht="16.05" customHeight="1">
      <c r="AK125" s="4">
        <v>124</v>
      </c>
      <c r="AL125" s="4">
        <v>4</v>
      </c>
      <c r="AM125" s="4">
        <v>1</v>
      </c>
      <c r="AN125" s="4">
        <v>1</v>
      </c>
      <c r="AO125" s="197" t="s">
        <v>2226</v>
      </c>
      <c r="AP125" s="198">
        <v>220.4</v>
      </c>
      <c r="AQ125">
        <v>8</v>
      </c>
      <c r="AR125">
        <v>8</v>
      </c>
      <c r="AS125">
        <v>3</v>
      </c>
      <c r="AT125">
        <v>1.75</v>
      </c>
      <c r="AU125">
        <v>27.12</v>
      </c>
      <c r="AV125">
        <v>76</v>
      </c>
      <c r="AW125">
        <v>11.6</v>
      </c>
      <c r="AY125" s="38">
        <f t="shared" si="33"/>
        <v>124</v>
      </c>
      <c r="AZ125" s="25" t="b">
        <f t="shared" si="34"/>
        <v>0</v>
      </c>
      <c r="BA125" s="25">
        <f t="shared" si="35"/>
        <v>124</v>
      </c>
      <c r="BB125" s="25">
        <f t="shared" si="36"/>
        <v>124</v>
      </c>
      <c r="BC125" s="25" t="b">
        <f t="shared" si="37"/>
        <v>0</v>
      </c>
      <c r="BI125" s="25">
        <v>23</v>
      </c>
      <c r="BJ125" s="6">
        <v>138</v>
      </c>
      <c r="BK125" s="8">
        <v>1</v>
      </c>
      <c r="BM125" s="7" t="s">
        <v>811</v>
      </c>
      <c r="BN125" s="11">
        <f>BN124*1.25</f>
        <v>0.12380674328200052</v>
      </c>
      <c r="BP125" s="14">
        <f t="shared" si="41"/>
        <v>19.688164771227406</v>
      </c>
      <c r="BQ125" s="11">
        <f t="shared" si="42"/>
        <v>8.1402749386839904E-2</v>
      </c>
      <c r="BS125" s="10"/>
      <c r="BT125" s="10">
        <f>(BX148+0.5)*BT124*0.67</f>
        <v>99.495000000000005</v>
      </c>
      <c r="CA125" s="33">
        <v>1000122</v>
      </c>
      <c r="CB125" s="33">
        <f t="shared" si="43"/>
        <v>0</v>
      </c>
      <c r="CR125" s="44"/>
      <c r="EQ125" s="48"/>
      <c r="ER125" s="25"/>
      <c r="ES125" s="25"/>
      <c r="ET125" s="25"/>
      <c r="EU125" s="25"/>
      <c r="EV125" s="25"/>
      <c r="EW125" s="25"/>
    </row>
    <row r="126" spans="37:168" ht="16.05" customHeight="1">
      <c r="AK126" s="4">
        <v>125</v>
      </c>
      <c r="AL126" s="4">
        <v>4</v>
      </c>
      <c r="AM126" s="4">
        <v>1</v>
      </c>
      <c r="AN126" s="4">
        <v>1</v>
      </c>
      <c r="AO126" s="197" t="s">
        <v>2227</v>
      </c>
      <c r="AP126" s="198">
        <v>200.6</v>
      </c>
      <c r="AQ126">
        <v>8</v>
      </c>
      <c r="AR126">
        <v>8</v>
      </c>
      <c r="AS126">
        <v>3</v>
      </c>
      <c r="AT126">
        <v>1.75</v>
      </c>
      <c r="AU126">
        <v>20.12</v>
      </c>
      <c r="AV126">
        <v>76</v>
      </c>
      <c r="AW126">
        <v>11.6</v>
      </c>
      <c r="AY126" s="38">
        <f t="shared" si="33"/>
        <v>125</v>
      </c>
      <c r="AZ126" s="25" t="b">
        <f t="shared" si="34"/>
        <v>0</v>
      </c>
      <c r="BA126" s="25" t="b">
        <f t="shared" si="35"/>
        <v>0</v>
      </c>
      <c r="BB126" s="25">
        <f t="shared" si="36"/>
        <v>125</v>
      </c>
      <c r="BC126" s="25" t="b">
        <f t="shared" si="37"/>
        <v>0</v>
      </c>
      <c r="BI126" s="25">
        <v>24</v>
      </c>
      <c r="BJ126" s="6">
        <v>63</v>
      </c>
      <c r="BK126" s="8">
        <v>0.8</v>
      </c>
      <c r="BN126" s="11">
        <f>IF(BN129=1,BN123,IF(BN129=2,BN124,IF(BN129=3,BN125)))</f>
        <v>6.1903371641000252E-2</v>
      </c>
      <c r="BP126" s="14">
        <f t="shared" si="41"/>
        <v>21.853862896062424</v>
      </c>
      <c r="BQ126" s="11">
        <f t="shared" si="42"/>
        <v>8.9543024325523898E-2</v>
      </c>
      <c r="BS126" s="10"/>
      <c r="BT126" s="10">
        <f>ROUND(BT125,1)</f>
        <v>99.5</v>
      </c>
      <c r="CA126" s="33">
        <v>1000132</v>
      </c>
      <c r="CB126" s="33">
        <f t="shared" si="43"/>
        <v>0</v>
      </c>
      <c r="CD126" s="9">
        <v>41</v>
      </c>
      <c r="CE126" s="45">
        <f ca="1">LOOKUP(CB$54,CF$5:DP$5,CF126:DP126)</f>
        <v>0</v>
      </c>
      <c r="CF126" s="45"/>
      <c r="CR126" s="44"/>
      <c r="CX126" s="127" t="str">
        <f>CONCATENATE(CD126,DR100,DS100,DT100)</f>
        <v>41 CP IPA+90 IZ+0.25 DR+</v>
      </c>
      <c r="DD126" s="127" t="str">
        <f>CONCATENATE(CD126,FT103,GB24,DT82,GD24)</f>
        <v>41 CC IX+5.032 IY-0.016</v>
      </c>
      <c r="EQ126" s="48"/>
      <c r="ER126" s="25"/>
      <c r="ES126" s="25"/>
      <c r="ET126" s="25"/>
      <c r="EU126" s="25"/>
      <c r="EV126" s="25"/>
      <c r="EW126" s="25"/>
    </row>
    <row r="127" spans="37:168" ht="16.05" customHeight="1">
      <c r="AK127" s="4">
        <v>126</v>
      </c>
      <c r="AL127" s="4">
        <v>4</v>
      </c>
      <c r="AM127" s="4">
        <v>1</v>
      </c>
      <c r="AN127" s="4">
        <v>1</v>
      </c>
      <c r="AO127" s="197" t="s">
        <v>2228</v>
      </c>
      <c r="AP127" s="198">
        <v>267</v>
      </c>
      <c r="AQ127">
        <v>8</v>
      </c>
      <c r="AR127">
        <v>7.5</v>
      </c>
      <c r="AS127">
        <v>3</v>
      </c>
      <c r="AT127">
        <v>1.5</v>
      </c>
      <c r="AU127">
        <v>32.25</v>
      </c>
      <c r="AV127">
        <v>76</v>
      </c>
      <c r="AW127">
        <v>9.6</v>
      </c>
      <c r="AY127" s="38">
        <f t="shared" si="33"/>
        <v>126</v>
      </c>
      <c r="AZ127" s="25" t="b">
        <f t="shared" si="34"/>
        <v>0</v>
      </c>
      <c r="BA127" s="25">
        <f t="shared" si="35"/>
        <v>126</v>
      </c>
      <c r="BB127" s="25">
        <f t="shared" si="36"/>
        <v>126</v>
      </c>
      <c r="BC127" s="25" t="b">
        <f t="shared" si="37"/>
        <v>0</v>
      </c>
      <c r="BI127" s="25">
        <v>25</v>
      </c>
      <c r="BJ127" s="6">
        <v>625</v>
      </c>
      <c r="BK127" s="8">
        <v>1.4</v>
      </c>
      <c r="BM127" s="7" t="s">
        <v>985</v>
      </c>
      <c r="BN127" s="11">
        <f>(BX148*0.33)*BN126</f>
        <v>0.26556546433989109</v>
      </c>
      <c r="BP127" s="14">
        <f t="shared" si="41"/>
        <v>24.257787814629292</v>
      </c>
      <c r="BQ127" s="11">
        <f t="shared" si="42"/>
        <v>9.8497326758076292E-2</v>
      </c>
      <c r="BS127" s="10"/>
      <c r="BT127" s="10">
        <f>ROUND(BT125,0)</f>
        <v>99</v>
      </c>
      <c r="CA127" s="33">
        <v>1001012</v>
      </c>
      <c r="CB127" s="33">
        <f t="shared" si="43"/>
        <v>0</v>
      </c>
      <c r="CR127" s="44"/>
      <c r="EQ127" s="48"/>
      <c r="ER127" s="25"/>
      <c r="ES127" s="25"/>
      <c r="ET127" s="25"/>
      <c r="EU127" s="25"/>
      <c r="EV127" s="25"/>
      <c r="EW127" s="25"/>
    </row>
    <row r="128" spans="37:168" ht="16.05" customHeight="1">
      <c r="AK128" s="4">
        <v>127</v>
      </c>
      <c r="AL128" s="4">
        <v>4</v>
      </c>
      <c r="AM128" s="4">
        <v>1</v>
      </c>
      <c r="AN128" s="4">
        <v>1</v>
      </c>
      <c r="AO128" s="197" t="s">
        <v>2229</v>
      </c>
      <c r="AP128" s="198">
        <v>242.6</v>
      </c>
      <c r="AQ128">
        <v>8</v>
      </c>
      <c r="AR128">
        <v>7.5</v>
      </c>
      <c r="AS128">
        <v>3</v>
      </c>
      <c r="AT128">
        <v>1.5</v>
      </c>
      <c r="AU128">
        <v>27.75</v>
      </c>
      <c r="AV128">
        <v>76</v>
      </c>
      <c r="AW128">
        <v>9.6</v>
      </c>
      <c r="AY128" s="38">
        <f t="shared" si="33"/>
        <v>127</v>
      </c>
      <c r="AZ128" s="25" t="b">
        <f t="shared" si="34"/>
        <v>0</v>
      </c>
      <c r="BA128" s="25">
        <f t="shared" si="35"/>
        <v>127</v>
      </c>
      <c r="BB128" s="25">
        <f t="shared" si="36"/>
        <v>127</v>
      </c>
      <c r="BC128" s="25" t="b">
        <f t="shared" si="37"/>
        <v>0</v>
      </c>
      <c r="BI128" s="25">
        <v>26</v>
      </c>
      <c r="BJ128" s="6">
        <v>525</v>
      </c>
      <c r="BK128" s="8">
        <v>1.3</v>
      </c>
      <c r="BM128" s="7" t="s">
        <v>634</v>
      </c>
      <c r="BN128" s="11">
        <f>IF(CB108=1000,BN127,BN126)</f>
        <v>6.1903371641000252E-2</v>
      </c>
      <c r="BP128" s="14">
        <f t="shared" si="41"/>
        <v>26.926144474238516</v>
      </c>
      <c r="BQ128" s="11">
        <f t="shared" si="42"/>
        <v>0.10834705943388392</v>
      </c>
      <c r="BS128" s="7" t="s">
        <v>747</v>
      </c>
      <c r="BT128" s="21">
        <f>IF(BT125&gt;=10,BT127,BT126)</f>
        <v>99</v>
      </c>
      <c r="BW128" s="7" t="s">
        <v>937</v>
      </c>
      <c r="BX128" s="28">
        <f>BN103*BS165</f>
        <v>0.92015417476451522</v>
      </c>
      <c r="CA128" s="33">
        <v>1001022</v>
      </c>
      <c r="CB128" s="33">
        <f t="shared" si="43"/>
        <v>0</v>
      </c>
      <c r="CR128" s="44"/>
      <c r="EQ128" s="48"/>
      <c r="ER128" s="25"/>
      <c r="ES128" s="25"/>
      <c r="ET128" s="25"/>
      <c r="EU128" s="25"/>
      <c r="EV128" s="25"/>
      <c r="EW128" s="25"/>
    </row>
    <row r="129" spans="37:171" ht="16.05" customHeight="1">
      <c r="AK129" s="4">
        <v>128</v>
      </c>
      <c r="AL129" s="4">
        <v>4</v>
      </c>
      <c r="AM129" s="4">
        <v>1</v>
      </c>
      <c r="AN129" s="4">
        <v>1</v>
      </c>
      <c r="AO129" s="197" t="s">
        <v>2230</v>
      </c>
      <c r="AP129" s="198">
        <v>220.4</v>
      </c>
      <c r="AQ129">
        <v>8</v>
      </c>
      <c r="AR129">
        <v>7.5</v>
      </c>
      <c r="AS129">
        <v>3</v>
      </c>
      <c r="AT129">
        <v>1.5</v>
      </c>
      <c r="AU129">
        <v>21.75</v>
      </c>
      <c r="AV129">
        <v>76</v>
      </c>
      <c r="AW129">
        <v>9.6</v>
      </c>
      <c r="AY129" s="38">
        <f t="shared" si="33"/>
        <v>128</v>
      </c>
      <c r="AZ129" s="25" t="b">
        <f t="shared" si="34"/>
        <v>0</v>
      </c>
      <c r="BA129" s="25" t="b">
        <f t="shared" si="35"/>
        <v>0</v>
      </c>
      <c r="BB129" s="25">
        <f t="shared" si="36"/>
        <v>128</v>
      </c>
      <c r="BC129" s="25" t="b">
        <f t="shared" si="37"/>
        <v>0</v>
      </c>
      <c r="BI129" s="25">
        <v>27</v>
      </c>
      <c r="BJ129" s="6">
        <v>360</v>
      </c>
      <c r="BK129" s="8">
        <v>1.2</v>
      </c>
      <c r="BM129" s="7" t="s">
        <v>781</v>
      </c>
      <c r="BN129" s="40">
        <f>IF(H26&gt;0,H26,G26)</f>
        <v>1</v>
      </c>
      <c r="BP129" s="14">
        <f t="shared" si="41"/>
        <v>29.888020366404756</v>
      </c>
      <c r="BQ129" s="11">
        <f t="shared" si="42"/>
        <v>0.11918176537727232</v>
      </c>
      <c r="BS129" s="7" t="s">
        <v>792</v>
      </c>
      <c r="BT129" s="18">
        <f>IF(BX142=2,BT128,BT123)</f>
        <v>11</v>
      </c>
      <c r="CA129" s="33">
        <v>1001032</v>
      </c>
      <c r="CB129" s="33">
        <f t="shared" si="43"/>
        <v>0</v>
      </c>
      <c r="CD129" s="9">
        <v>42</v>
      </c>
      <c r="CE129" s="45">
        <f ca="1">LOOKUP(CB$54,CF$5:DP$5,CF129:DP129)</f>
        <v>0</v>
      </c>
      <c r="CF129" s="45"/>
      <c r="CR129" s="44"/>
      <c r="CX129" s="127" t="str">
        <f>CONCATENATE(CD129,DR103,DS103,DT103,DU103,DV103)</f>
        <v>42 L IX-2.5 IY-2.5 R0</v>
      </c>
      <c r="DD129" s="127" t="str">
        <f>CONCATENATE(CD129,DR88,FZ24,DT88)</f>
        <v>42 CP IPA+90 IZ+0.5 DR+</v>
      </c>
      <c r="EQ129" s="48"/>
      <c r="ER129" s="25"/>
      <c r="ES129" s="25"/>
      <c r="ET129" s="25"/>
      <c r="EU129" s="25"/>
      <c r="EV129" s="25"/>
      <c r="EW129" s="25"/>
    </row>
    <row r="130" spans="37:171" ht="16.05" customHeight="1">
      <c r="AK130" s="4">
        <v>129</v>
      </c>
      <c r="AL130" s="4">
        <v>4</v>
      </c>
      <c r="AM130" s="4">
        <v>1</v>
      </c>
      <c r="AN130" s="4">
        <v>1</v>
      </c>
      <c r="AO130" s="197" t="s">
        <v>2231</v>
      </c>
      <c r="AP130" s="198">
        <v>200.6</v>
      </c>
      <c r="AQ130">
        <v>8</v>
      </c>
      <c r="AR130">
        <v>7.5</v>
      </c>
      <c r="AS130">
        <v>3</v>
      </c>
      <c r="AT130">
        <v>1.5</v>
      </c>
      <c r="AU130">
        <v>17.25</v>
      </c>
      <c r="AV130">
        <v>76</v>
      </c>
      <c r="AW130">
        <v>9.6</v>
      </c>
      <c r="AY130" s="38">
        <f t="shared" ref="AY130:AY193" si="44">IF(C$10&gt;=AW130,AK130)</f>
        <v>129</v>
      </c>
      <c r="AZ130" s="25" t="b">
        <f t="shared" ref="AZ130:AZ193" si="45">IF(C$11=AT130,AK130)</f>
        <v>0</v>
      </c>
      <c r="BA130" s="25" t="b">
        <f t="shared" ref="BA130:BA193" si="46">IF(C$12&lt;=AU130,AK130)</f>
        <v>0</v>
      </c>
      <c r="BB130" s="25">
        <f t="shared" ref="BB130:BB193" si="47">IF(AN130=BT$10,AK130)</f>
        <v>129</v>
      </c>
      <c r="BC130" s="25" t="b">
        <f t="shared" ref="BC130:BC193" si="48">IF(AY130=FALSE,FALSE,IF(AZ130=FALSE,FALSE,IF(BA130=FALSE,FALSE,IF(BB130=FALSE,FALSE,AK130))))</f>
        <v>0</v>
      </c>
      <c r="BI130" s="25">
        <v>28</v>
      </c>
      <c r="BJ130" s="6">
        <v>265</v>
      </c>
      <c r="BK130" s="8">
        <v>1.1000000000000001</v>
      </c>
      <c r="BP130" s="14">
        <f t="shared" si="41"/>
        <v>33.17570260670928</v>
      </c>
      <c r="BQ130" s="11">
        <f t="shared" si="42"/>
        <v>0.13109994191499957</v>
      </c>
      <c r="BW130" s="7" t="s">
        <v>631</v>
      </c>
      <c r="BX130" s="43">
        <f>LOOKUP(BX128,BX131:BX133,BW131:BW133)</f>
        <v>1</v>
      </c>
      <c r="CA130" s="33">
        <v>1010012</v>
      </c>
      <c r="CB130" s="33">
        <f t="shared" si="43"/>
        <v>0</v>
      </c>
      <c r="CR130" s="44"/>
      <c r="EQ130" s="118">
        <v>20</v>
      </c>
      <c r="ER130" s="18" t="s">
        <v>1481</v>
      </c>
      <c r="ES130" s="25" t="str">
        <f>EU109</f>
        <v>-2.393</v>
      </c>
      <c r="ET130" s="25" t="str">
        <f>ET103</f>
        <v xml:space="preserve"> IY</v>
      </c>
      <c r="EU130" s="25" t="str">
        <f>EU109</f>
        <v>-2.393</v>
      </c>
      <c r="EV130" s="25" t="str">
        <f>EV103</f>
        <v xml:space="preserve"> R0</v>
      </c>
      <c r="EW130" s="25"/>
    </row>
    <row r="131" spans="37:171" ht="16.05" customHeight="1">
      <c r="AK131" s="4">
        <v>130</v>
      </c>
      <c r="AL131" s="4">
        <v>4</v>
      </c>
      <c r="AM131" s="4">
        <v>1</v>
      </c>
      <c r="AN131" s="4">
        <v>1</v>
      </c>
      <c r="AO131" s="197" t="s">
        <v>2232</v>
      </c>
      <c r="AP131" s="198">
        <v>191.7</v>
      </c>
      <c r="AQ131">
        <v>6</v>
      </c>
      <c r="AR131">
        <v>6</v>
      </c>
      <c r="AS131">
        <v>3</v>
      </c>
      <c r="AT131">
        <v>1.25</v>
      </c>
      <c r="AU131">
        <v>21.87</v>
      </c>
      <c r="AV131">
        <v>63</v>
      </c>
      <c r="AW131">
        <v>7.8</v>
      </c>
      <c r="AY131" s="38">
        <f t="shared" si="44"/>
        <v>130</v>
      </c>
      <c r="AZ131" s="25" t="b">
        <f t="shared" si="45"/>
        <v>0</v>
      </c>
      <c r="BA131" s="25" t="b">
        <f t="shared" si="46"/>
        <v>0</v>
      </c>
      <c r="BB131" s="25">
        <f t="shared" si="47"/>
        <v>130</v>
      </c>
      <c r="BC131" s="25" t="b">
        <f t="shared" si="48"/>
        <v>0</v>
      </c>
      <c r="BI131" s="25">
        <v>29</v>
      </c>
      <c r="BJ131" s="6">
        <v>55</v>
      </c>
      <c r="BK131" s="8">
        <v>0.6</v>
      </c>
      <c r="BM131" s="7" t="s">
        <v>635</v>
      </c>
      <c r="BN131" s="12">
        <f>IF(H25&gt;0,H25,G25)</f>
        <v>6.1903371641000252E-2</v>
      </c>
      <c r="BP131" s="14">
        <f t="shared" si="41"/>
        <v>36.825029893447301</v>
      </c>
      <c r="BQ131" s="11">
        <f t="shared" si="42"/>
        <v>0.14420993610649954</v>
      </c>
      <c r="BW131" s="25">
        <v>3</v>
      </c>
      <c r="BX131" s="28">
        <v>0</v>
      </c>
      <c r="CA131" s="33">
        <v>1010022</v>
      </c>
      <c r="CB131" s="33">
        <f t="shared" si="43"/>
        <v>0</v>
      </c>
      <c r="CR131" s="44"/>
      <c r="EQ131" s="48"/>
      <c r="ER131" s="25"/>
      <c r="ES131" s="25"/>
      <c r="ET131" s="25"/>
      <c r="EU131" s="25"/>
      <c r="EV131" s="25"/>
      <c r="EW131" s="25"/>
    </row>
    <row r="132" spans="37:171" ht="16.05" customHeight="1">
      <c r="AK132" s="4">
        <v>131</v>
      </c>
      <c r="AL132" s="4">
        <v>4</v>
      </c>
      <c r="AM132" s="4">
        <v>1</v>
      </c>
      <c r="AN132" s="4">
        <v>1</v>
      </c>
      <c r="AO132" s="197" t="s">
        <v>2233</v>
      </c>
      <c r="AP132" s="198">
        <v>174.3</v>
      </c>
      <c r="AQ132">
        <v>6</v>
      </c>
      <c r="AR132">
        <v>6</v>
      </c>
      <c r="AS132">
        <v>3</v>
      </c>
      <c r="AT132">
        <v>1.25</v>
      </c>
      <c r="AU132">
        <v>18.12</v>
      </c>
      <c r="AV132">
        <v>63</v>
      </c>
      <c r="AW132">
        <v>7.8</v>
      </c>
      <c r="AY132" s="38">
        <f t="shared" si="44"/>
        <v>131</v>
      </c>
      <c r="AZ132" s="25" t="b">
        <f t="shared" si="45"/>
        <v>0</v>
      </c>
      <c r="BA132" s="25" t="b">
        <f t="shared" si="46"/>
        <v>0</v>
      </c>
      <c r="BB132" s="25">
        <f t="shared" si="47"/>
        <v>131</v>
      </c>
      <c r="BC132" s="25" t="b">
        <f t="shared" si="48"/>
        <v>0</v>
      </c>
      <c r="BI132" s="25">
        <v>30</v>
      </c>
      <c r="BJ132" s="6">
        <v>360</v>
      </c>
      <c r="BK132" s="8">
        <v>1</v>
      </c>
      <c r="BP132" s="14">
        <f t="shared" si="41"/>
        <v>40.875783181726504</v>
      </c>
      <c r="BQ132" s="11">
        <f t="shared" si="42"/>
        <v>0.15863092971714951</v>
      </c>
      <c r="BW132" s="25">
        <v>2</v>
      </c>
      <c r="BX132" s="28">
        <v>0.35</v>
      </c>
      <c r="CA132" s="33">
        <v>1010032</v>
      </c>
      <c r="CB132" s="33">
        <f t="shared" si="43"/>
        <v>0</v>
      </c>
      <c r="CD132" s="9">
        <v>43</v>
      </c>
      <c r="CE132" s="45">
        <f ca="1">LOOKUP(CB$54,CF$5:DP$5,CF132:DP132)</f>
        <v>0</v>
      </c>
      <c r="CF132" s="45"/>
      <c r="CR132" s="44"/>
      <c r="CX132" s="127" t="str">
        <f>CONCATENATE(CD132,EE106,FK121,FL121,EG106)</f>
        <v>43 L IZ+78.5 FMAX</v>
      </c>
      <c r="DD132" s="127" t="str">
        <f>CONCATENATE(CD132,FT103,GB27,FT91,GD27)</f>
        <v>43 CC IX+0.016 IY+5.048</v>
      </c>
      <c r="EQ132" s="48"/>
      <c r="ER132" s="25"/>
      <c r="ES132" s="25"/>
      <c r="ET132" s="25"/>
      <c r="EU132" s="25"/>
      <c r="EV132" s="25"/>
      <c r="EW132" s="25"/>
    </row>
    <row r="133" spans="37:171" ht="16.05" customHeight="1">
      <c r="AK133" s="4">
        <v>132</v>
      </c>
      <c r="AL133" s="4">
        <v>4</v>
      </c>
      <c r="AM133" s="4">
        <v>1</v>
      </c>
      <c r="AN133" s="4">
        <v>1</v>
      </c>
      <c r="AO133" s="197" t="s">
        <v>2234</v>
      </c>
      <c r="AP133" s="198">
        <v>158.5</v>
      </c>
      <c r="AQ133">
        <v>6</v>
      </c>
      <c r="AR133">
        <v>6</v>
      </c>
      <c r="AS133">
        <v>3</v>
      </c>
      <c r="AT133">
        <v>1.25</v>
      </c>
      <c r="AU133">
        <v>14.37</v>
      </c>
      <c r="AV133">
        <v>63</v>
      </c>
      <c r="AW133">
        <v>7.8</v>
      </c>
      <c r="AY133" s="38">
        <f t="shared" si="44"/>
        <v>132</v>
      </c>
      <c r="AZ133" s="25" t="b">
        <f t="shared" si="45"/>
        <v>0</v>
      </c>
      <c r="BA133" s="25" t="b">
        <f t="shared" si="46"/>
        <v>0</v>
      </c>
      <c r="BB133" s="25">
        <f t="shared" si="47"/>
        <v>132</v>
      </c>
      <c r="BC133" s="25" t="b">
        <f t="shared" si="48"/>
        <v>0</v>
      </c>
      <c r="BW133" s="25">
        <v>1</v>
      </c>
      <c r="BX133" s="28">
        <v>0.55000000000000004</v>
      </c>
      <c r="CA133" s="33">
        <v>1010111</v>
      </c>
      <c r="CB133" s="33">
        <f t="shared" si="43"/>
        <v>0</v>
      </c>
      <c r="CR133" s="44"/>
      <c r="EQ133" s="118">
        <v>21</v>
      </c>
      <c r="ER133" s="18" t="s">
        <v>1484</v>
      </c>
      <c r="ES133" s="25" t="str">
        <f>ES106</f>
        <v>-2.5</v>
      </c>
      <c r="ET133" s="25" t="str">
        <f>ET106</f>
        <v xml:space="preserve"> FMAX</v>
      </c>
      <c r="EU133" s="25"/>
      <c r="EV133" s="25"/>
      <c r="EW133" s="25"/>
    </row>
    <row r="134" spans="37:171" ht="16.05" customHeight="1">
      <c r="AK134" s="4">
        <v>133</v>
      </c>
      <c r="AL134" s="4">
        <v>4</v>
      </c>
      <c r="AM134" s="4">
        <v>1</v>
      </c>
      <c r="AN134" s="4">
        <v>1</v>
      </c>
      <c r="AO134" s="197" t="s">
        <v>2235</v>
      </c>
      <c r="AP134" s="198">
        <v>191.7</v>
      </c>
      <c r="AQ134">
        <v>6</v>
      </c>
      <c r="AR134">
        <v>4.5</v>
      </c>
      <c r="AS134">
        <v>3</v>
      </c>
      <c r="AT134">
        <v>1</v>
      </c>
      <c r="AU134">
        <v>16.5</v>
      </c>
      <c r="AV134">
        <v>63</v>
      </c>
      <c r="AW134">
        <v>5.8</v>
      </c>
      <c r="AY134" s="38">
        <f t="shared" si="44"/>
        <v>133</v>
      </c>
      <c r="AZ134" s="25" t="b">
        <f t="shared" si="45"/>
        <v>0</v>
      </c>
      <c r="BA134" s="25" t="b">
        <f t="shared" si="46"/>
        <v>0</v>
      </c>
      <c r="BB134" s="25">
        <f t="shared" si="47"/>
        <v>133</v>
      </c>
      <c r="BC134" s="25" t="b">
        <f t="shared" si="48"/>
        <v>0</v>
      </c>
      <c r="BI134" s="13"/>
      <c r="BJ134" s="15"/>
      <c r="BK134" s="15" t="s">
        <v>636</v>
      </c>
      <c r="BL134" s="9"/>
      <c r="BM134" s="10"/>
      <c r="BN134" s="10"/>
      <c r="BO134" s="7"/>
      <c r="BP134" s="10"/>
      <c r="BQ134" s="10"/>
      <c r="BR134" s="10"/>
      <c r="BS134" s="10"/>
      <c r="BT134" s="10"/>
      <c r="CA134" s="33">
        <v>1010112</v>
      </c>
      <c r="CB134" s="33">
        <f t="shared" si="43"/>
        <v>0</v>
      </c>
      <c r="CR134" s="44"/>
      <c r="EQ134" s="48"/>
      <c r="ER134" s="25"/>
      <c r="ES134" s="25"/>
      <c r="ET134" s="25"/>
      <c r="EU134" s="25"/>
      <c r="EV134" s="25"/>
      <c r="EW134" s="25"/>
    </row>
    <row r="135" spans="37:171" ht="16.05" customHeight="1">
      <c r="AK135" s="4">
        <v>134</v>
      </c>
      <c r="AL135" s="4">
        <v>4</v>
      </c>
      <c r="AM135" s="4">
        <v>1</v>
      </c>
      <c r="AN135" s="4">
        <v>1</v>
      </c>
      <c r="AO135" s="197" t="s">
        <v>2236</v>
      </c>
      <c r="AP135" s="198">
        <v>174.3</v>
      </c>
      <c r="AQ135">
        <v>6</v>
      </c>
      <c r="AR135">
        <v>4.5</v>
      </c>
      <c r="AS135">
        <v>3</v>
      </c>
      <c r="AT135">
        <v>1</v>
      </c>
      <c r="AU135">
        <v>13.5</v>
      </c>
      <c r="AV135">
        <v>63</v>
      </c>
      <c r="AW135">
        <v>5.8</v>
      </c>
      <c r="AY135" s="38">
        <f t="shared" si="44"/>
        <v>134</v>
      </c>
      <c r="AZ135" s="25" t="b">
        <f t="shared" si="45"/>
        <v>0</v>
      </c>
      <c r="BA135" s="25" t="b">
        <f t="shared" si="46"/>
        <v>0</v>
      </c>
      <c r="BB135" s="25">
        <f t="shared" si="47"/>
        <v>134</v>
      </c>
      <c r="BC135" s="25" t="b">
        <f t="shared" si="48"/>
        <v>0</v>
      </c>
      <c r="BI135" s="13"/>
      <c r="BJ135" s="15" t="s">
        <v>979</v>
      </c>
      <c r="BK135" s="15">
        <v>1</v>
      </c>
      <c r="BL135" s="15">
        <f t="shared" ref="BL135:BT135" si="49">BK135+1</f>
        <v>2</v>
      </c>
      <c r="BM135" s="15">
        <f t="shared" si="49"/>
        <v>3</v>
      </c>
      <c r="BN135" s="15">
        <f t="shared" si="49"/>
        <v>4</v>
      </c>
      <c r="BO135" s="15">
        <f t="shared" si="49"/>
        <v>5</v>
      </c>
      <c r="BP135" s="15">
        <f t="shared" si="49"/>
        <v>6</v>
      </c>
      <c r="BQ135" s="15">
        <f t="shared" si="49"/>
        <v>7</v>
      </c>
      <c r="BR135" s="15">
        <f t="shared" si="49"/>
        <v>8</v>
      </c>
      <c r="BS135" s="15">
        <f t="shared" si="49"/>
        <v>9</v>
      </c>
      <c r="BT135" s="15">
        <f t="shared" si="49"/>
        <v>10</v>
      </c>
      <c r="CA135" s="33">
        <v>1010121</v>
      </c>
      <c r="CB135" s="33">
        <f t="shared" si="43"/>
        <v>0</v>
      </c>
      <c r="CD135" s="9">
        <v>44</v>
      </c>
      <c r="CE135" s="45">
        <f ca="1">LOOKUP(CB$54,CF$5:DP$5,CF135:DP135)</f>
        <v>0</v>
      </c>
      <c r="CF135" s="45"/>
      <c r="CR135" s="44"/>
      <c r="DD135" s="127" t="str">
        <f>CONCATENATE(CD135,DR88,FZ27,DT88)</f>
        <v>44 CP IPA+90 IZ+0.5 DR+</v>
      </c>
      <c r="EQ135" s="48"/>
      <c r="ER135" s="25"/>
      <c r="ES135" s="25"/>
      <c r="ET135" s="25"/>
      <c r="EU135" s="25"/>
      <c r="EV135" s="25"/>
      <c r="EW135" s="25"/>
    </row>
    <row r="136" spans="37:171" ht="16.05" customHeight="1">
      <c r="AK136" s="4">
        <v>135</v>
      </c>
      <c r="AL136" s="4">
        <v>4</v>
      </c>
      <c r="AM136" s="4">
        <v>1</v>
      </c>
      <c r="AN136" s="4">
        <v>1</v>
      </c>
      <c r="AO136" s="197" t="s">
        <v>2237</v>
      </c>
      <c r="AP136" s="198">
        <v>158.5</v>
      </c>
      <c r="AQ136">
        <v>6</v>
      </c>
      <c r="AR136">
        <v>4.5</v>
      </c>
      <c r="AS136">
        <v>3</v>
      </c>
      <c r="AT136">
        <v>1</v>
      </c>
      <c r="AU136">
        <v>10.5</v>
      </c>
      <c r="AV136">
        <v>63</v>
      </c>
      <c r="AW136">
        <v>5.8</v>
      </c>
      <c r="AY136" s="38">
        <f t="shared" si="44"/>
        <v>135</v>
      </c>
      <c r="AZ136" s="25" t="b">
        <f t="shared" si="45"/>
        <v>0</v>
      </c>
      <c r="BA136" s="25" t="b">
        <f t="shared" si="46"/>
        <v>0</v>
      </c>
      <c r="BB136" s="25">
        <f t="shared" si="47"/>
        <v>135</v>
      </c>
      <c r="BC136" s="25" t="b">
        <f t="shared" si="48"/>
        <v>0</v>
      </c>
      <c r="BI136" s="13"/>
      <c r="BJ136" s="7" t="s">
        <v>881</v>
      </c>
      <c r="BK136" s="16">
        <v>5.0000000000000001E-3</v>
      </c>
      <c r="BL136" s="16">
        <v>5.7000000000000002E-2</v>
      </c>
      <c r="BM136" s="16">
        <f t="shared" ref="BM136:BT136" si="50">BL136*1.14</f>
        <v>6.4979999999999996E-2</v>
      </c>
      <c r="BN136" s="16">
        <f t="shared" si="50"/>
        <v>7.4077199999999996E-2</v>
      </c>
      <c r="BO136" s="16">
        <f t="shared" si="50"/>
        <v>8.4448007999999991E-2</v>
      </c>
      <c r="BP136" s="16">
        <f t="shared" si="50"/>
        <v>9.6270729119999982E-2</v>
      </c>
      <c r="BQ136" s="16">
        <f t="shared" si="50"/>
        <v>0.10974863119679996</v>
      </c>
      <c r="BR136" s="16">
        <f t="shared" si="50"/>
        <v>0.12511343956435195</v>
      </c>
      <c r="BS136" s="16">
        <f t="shared" si="50"/>
        <v>0.14262932110336121</v>
      </c>
      <c r="BT136" s="16">
        <f t="shared" si="50"/>
        <v>0.16259742605783176</v>
      </c>
      <c r="CA136" s="33">
        <v>1010122</v>
      </c>
      <c r="CB136" s="33">
        <f t="shared" si="43"/>
        <v>0</v>
      </c>
      <c r="CR136" s="44"/>
      <c r="EQ136" s="48"/>
      <c r="ER136" s="25"/>
      <c r="ES136" s="25"/>
      <c r="ET136" s="25"/>
      <c r="EU136" s="25"/>
      <c r="EV136" s="25"/>
      <c r="EW136" s="25"/>
      <c r="FN136" s="118">
        <v>22</v>
      </c>
      <c r="FO136" s="121" t="s">
        <v>24</v>
      </c>
    </row>
    <row r="137" spans="37:171" ht="16.05" customHeight="1">
      <c r="AK137" s="4">
        <v>136</v>
      </c>
      <c r="AL137" s="4">
        <v>4</v>
      </c>
      <c r="AM137" s="4">
        <v>1</v>
      </c>
      <c r="AN137" s="4">
        <v>1</v>
      </c>
      <c r="AO137" s="197" t="s">
        <v>2238</v>
      </c>
      <c r="AP137" s="198">
        <v>136.4</v>
      </c>
      <c r="AQ137">
        <v>4</v>
      </c>
      <c r="AR137">
        <v>3.8</v>
      </c>
      <c r="AS137">
        <v>3</v>
      </c>
      <c r="AT137">
        <v>0.8</v>
      </c>
      <c r="AU137">
        <v>8.4</v>
      </c>
      <c r="AV137">
        <v>50</v>
      </c>
      <c r="AW137">
        <v>4.8</v>
      </c>
      <c r="AY137" s="38">
        <f t="shared" si="44"/>
        <v>136</v>
      </c>
      <c r="AZ137" s="25" t="b">
        <f t="shared" si="45"/>
        <v>0</v>
      </c>
      <c r="BA137" s="25" t="b">
        <f t="shared" si="46"/>
        <v>0</v>
      </c>
      <c r="BB137" s="25">
        <f t="shared" si="47"/>
        <v>136</v>
      </c>
      <c r="BC137" s="25" t="b">
        <f t="shared" si="48"/>
        <v>0</v>
      </c>
      <c r="BI137" s="17">
        <v>100</v>
      </c>
      <c r="BJ137" s="7">
        <v>0.1</v>
      </c>
      <c r="BK137" s="10">
        <v>1.75</v>
      </c>
      <c r="BL137" s="10">
        <f t="shared" ref="BL137:BT137" si="51">BK137/1.1</f>
        <v>1.5909090909090908</v>
      </c>
      <c r="BM137" s="10">
        <f t="shared" si="51"/>
        <v>1.446280991735537</v>
      </c>
      <c r="BN137" s="10">
        <f t="shared" si="51"/>
        <v>1.3148009015777609</v>
      </c>
      <c r="BO137" s="10">
        <f t="shared" si="51"/>
        <v>1.1952735468888733</v>
      </c>
      <c r="BP137" s="10">
        <f t="shared" si="51"/>
        <v>1.0866123153535212</v>
      </c>
      <c r="BQ137" s="10">
        <f t="shared" si="51"/>
        <v>0.98782937759411016</v>
      </c>
      <c r="BR137" s="10">
        <f t="shared" si="51"/>
        <v>0.89802670690373643</v>
      </c>
      <c r="BS137" s="10">
        <f t="shared" si="51"/>
        <v>0.81638791536703303</v>
      </c>
      <c r="BT137" s="10">
        <f t="shared" si="51"/>
        <v>0.7421708321518482</v>
      </c>
      <c r="CA137" s="33">
        <v>1010131</v>
      </c>
      <c r="CB137" s="33">
        <f t="shared" si="43"/>
        <v>0</v>
      </c>
      <c r="CR137" s="44"/>
    </row>
    <row r="138" spans="37:171" ht="16.05" customHeight="1">
      <c r="AK138" s="4">
        <v>137</v>
      </c>
      <c r="AL138" s="4">
        <v>4</v>
      </c>
      <c r="AM138" s="4">
        <v>1</v>
      </c>
      <c r="AN138" s="4">
        <v>1</v>
      </c>
      <c r="AO138" s="197" t="s">
        <v>2239</v>
      </c>
      <c r="AP138" s="198">
        <v>165</v>
      </c>
      <c r="AQ138">
        <v>4</v>
      </c>
      <c r="AR138">
        <v>3.8</v>
      </c>
      <c r="AS138">
        <v>3</v>
      </c>
      <c r="AT138">
        <v>0.8</v>
      </c>
      <c r="AU138">
        <v>13.2</v>
      </c>
      <c r="AV138">
        <v>50</v>
      </c>
      <c r="AW138">
        <v>4.8</v>
      </c>
      <c r="AY138" s="38">
        <f t="shared" si="44"/>
        <v>137</v>
      </c>
      <c r="AZ138" s="25" t="b">
        <f t="shared" si="45"/>
        <v>0</v>
      </c>
      <c r="BA138" s="25" t="b">
        <f t="shared" si="46"/>
        <v>0</v>
      </c>
      <c r="BB138" s="25">
        <f t="shared" si="47"/>
        <v>137</v>
      </c>
      <c r="BC138" s="25" t="b">
        <f t="shared" si="48"/>
        <v>0</v>
      </c>
      <c r="BI138" s="17">
        <f>BI137+100</f>
        <v>200</v>
      </c>
      <c r="BJ138" s="7">
        <v>1.135</v>
      </c>
      <c r="BK138" s="10">
        <f t="shared" ref="BK138:BS138" si="52">BK137/1.1</f>
        <v>1.5909090909090908</v>
      </c>
      <c r="BL138" s="10">
        <f t="shared" si="52"/>
        <v>1.446280991735537</v>
      </c>
      <c r="BM138" s="10">
        <f t="shared" si="52"/>
        <v>1.3148009015777609</v>
      </c>
      <c r="BN138" s="10">
        <f t="shared" si="52"/>
        <v>1.1952735468888733</v>
      </c>
      <c r="BO138" s="10">
        <f t="shared" si="52"/>
        <v>1.0866123153535212</v>
      </c>
      <c r="BP138" s="10">
        <f t="shared" si="52"/>
        <v>0.98782937759411016</v>
      </c>
      <c r="BQ138" s="10">
        <f t="shared" si="52"/>
        <v>0.89802670690373643</v>
      </c>
      <c r="BR138" s="10">
        <f t="shared" si="52"/>
        <v>0.81638791536703303</v>
      </c>
      <c r="BS138" s="10">
        <f t="shared" si="52"/>
        <v>0.7421708321518482</v>
      </c>
      <c r="BT138" s="10">
        <f>BT137/1.1</f>
        <v>0.67470075650168015</v>
      </c>
      <c r="CA138" s="33">
        <v>1010132</v>
      </c>
      <c r="CB138" s="33">
        <f t="shared" si="43"/>
        <v>0</v>
      </c>
      <c r="CD138" s="9">
        <v>45</v>
      </c>
      <c r="CE138" s="45">
        <f ca="1">LOOKUP(CB$54,CF$5:DP$5,CF138:DP138)</f>
        <v>0</v>
      </c>
      <c r="CF138" s="45"/>
      <c r="CR138" s="44"/>
      <c r="DD138" s="127" t="str">
        <f>CONCATENATE(CD138,DR97,DS97,DT97)</f>
        <v>45 CC IX-2.5 IY+0</v>
      </c>
    </row>
    <row r="139" spans="37:171" ht="16.05" customHeight="1">
      <c r="AK139" s="4">
        <v>138</v>
      </c>
      <c r="AL139" s="4">
        <v>4</v>
      </c>
      <c r="AM139" s="4">
        <v>1</v>
      </c>
      <c r="AN139" s="4">
        <v>1</v>
      </c>
      <c r="AO139" s="197" t="s">
        <v>2240</v>
      </c>
      <c r="AP139" s="198">
        <v>150</v>
      </c>
      <c r="AQ139">
        <v>4</v>
      </c>
      <c r="AR139">
        <v>3.8</v>
      </c>
      <c r="AS139">
        <v>3</v>
      </c>
      <c r="AT139">
        <v>0.8</v>
      </c>
      <c r="AU139">
        <v>10.8</v>
      </c>
      <c r="AV139">
        <v>50</v>
      </c>
      <c r="AW139">
        <v>4.8</v>
      </c>
      <c r="AY139" s="38">
        <f t="shared" si="44"/>
        <v>138</v>
      </c>
      <c r="AZ139" s="25" t="b">
        <f t="shared" si="45"/>
        <v>0</v>
      </c>
      <c r="BA139" s="25" t="b">
        <f t="shared" si="46"/>
        <v>0</v>
      </c>
      <c r="BB139" s="25">
        <f t="shared" si="47"/>
        <v>138</v>
      </c>
      <c r="BC139" s="25" t="b">
        <f t="shared" si="48"/>
        <v>0</v>
      </c>
      <c r="BI139" s="17">
        <f t="shared" ref="BI139:BI148" si="53">BI138+100</f>
        <v>300</v>
      </c>
      <c r="BJ139" s="7">
        <f t="shared" ref="BJ139:BJ148" si="54">BJ138*1.135</f>
        <v>1.288225</v>
      </c>
      <c r="BK139" s="10">
        <f t="shared" ref="BK139:BS139" si="55">BK138/1.1</f>
        <v>1.446280991735537</v>
      </c>
      <c r="BL139" s="10">
        <f t="shared" si="55"/>
        <v>1.3148009015777609</v>
      </c>
      <c r="BM139" s="10">
        <f t="shared" si="55"/>
        <v>1.1952735468888733</v>
      </c>
      <c r="BN139" s="10">
        <f t="shared" si="55"/>
        <v>1.0866123153535212</v>
      </c>
      <c r="BO139" s="10">
        <f t="shared" si="55"/>
        <v>0.98782937759411016</v>
      </c>
      <c r="BP139" s="10">
        <f t="shared" si="55"/>
        <v>0.89802670690373643</v>
      </c>
      <c r="BQ139" s="10">
        <f t="shared" si="55"/>
        <v>0.81638791536703303</v>
      </c>
      <c r="BR139" s="10">
        <f t="shared" si="55"/>
        <v>0.7421708321518482</v>
      </c>
      <c r="BS139" s="10">
        <f t="shared" si="55"/>
        <v>0.67470075650168015</v>
      </c>
      <c r="BT139" s="10">
        <f>BT138/1.1</f>
        <v>0.61336432409243646</v>
      </c>
      <c r="BX139" s="25" t="e">
        <f>LOOKUP(BM112,AK102:AK298,AM102:AM307)</f>
        <v>#N/A</v>
      </c>
      <c r="CA139" s="33"/>
      <c r="CB139" s="33"/>
      <c r="CR139" s="44"/>
    </row>
    <row r="140" spans="37:171" ht="16.05" customHeight="1">
      <c r="AK140" s="4">
        <v>139</v>
      </c>
      <c r="AL140" s="4">
        <v>1</v>
      </c>
      <c r="AM140" s="4">
        <v>1</v>
      </c>
      <c r="AN140" s="4">
        <v>1</v>
      </c>
      <c r="AO140" s="197" t="s">
        <v>2241</v>
      </c>
      <c r="AP140" s="198">
        <v>738</v>
      </c>
      <c r="AQ140">
        <v>25</v>
      </c>
      <c r="AR140">
        <v>25</v>
      </c>
      <c r="AS140">
        <v>6</v>
      </c>
      <c r="AT140">
        <v>2</v>
      </c>
      <c r="AU140">
        <v>57</v>
      </c>
      <c r="AV140">
        <v>130</v>
      </c>
      <c r="AW140">
        <v>29.6</v>
      </c>
      <c r="AY140" s="38" t="b">
        <f t="shared" si="44"/>
        <v>0</v>
      </c>
      <c r="AZ140" s="25">
        <f t="shared" si="45"/>
        <v>139</v>
      </c>
      <c r="BA140" s="25">
        <f t="shared" si="46"/>
        <v>139</v>
      </c>
      <c r="BB140" s="25">
        <f t="shared" si="47"/>
        <v>139</v>
      </c>
      <c r="BC140" s="25" t="b">
        <f t="shared" si="48"/>
        <v>0</v>
      </c>
      <c r="BI140" s="17">
        <f t="shared" si="53"/>
        <v>400</v>
      </c>
      <c r="BJ140" s="7">
        <f t="shared" si="54"/>
        <v>1.4621353749999999</v>
      </c>
      <c r="BK140" s="10">
        <f t="shared" ref="BK140:BS140" si="56">BK139/1.1</f>
        <v>1.3148009015777609</v>
      </c>
      <c r="BL140" s="10">
        <f t="shared" si="56"/>
        <v>1.1952735468888733</v>
      </c>
      <c r="BM140" s="10">
        <f t="shared" si="56"/>
        <v>1.0866123153535212</v>
      </c>
      <c r="BN140" s="10">
        <f t="shared" si="56"/>
        <v>0.98782937759411016</v>
      </c>
      <c r="BO140" s="10">
        <f t="shared" si="56"/>
        <v>0.89802670690373643</v>
      </c>
      <c r="BP140" s="10">
        <f t="shared" si="56"/>
        <v>0.81638791536703303</v>
      </c>
      <c r="BQ140" s="10">
        <f t="shared" si="56"/>
        <v>0.7421708321518482</v>
      </c>
      <c r="BR140" s="10">
        <f t="shared" si="56"/>
        <v>0.67470075650168015</v>
      </c>
      <c r="BS140" s="10">
        <f t="shared" si="56"/>
        <v>0.61336432409243646</v>
      </c>
      <c r="BT140" s="10">
        <f>BT139/1.1</f>
        <v>0.557603930993124</v>
      </c>
      <c r="BX140" s="25" t="b">
        <f>ISNA(BX139)</f>
        <v>1</v>
      </c>
      <c r="CA140" s="33"/>
      <c r="CB140" s="33"/>
      <c r="CR140" s="44"/>
    </row>
    <row r="141" spans="37:171" ht="16.05" customHeight="1">
      <c r="AK141" s="4">
        <v>140</v>
      </c>
      <c r="AL141" s="4">
        <v>1</v>
      </c>
      <c r="AM141" s="4">
        <v>1</v>
      </c>
      <c r="AN141" s="4">
        <v>1</v>
      </c>
      <c r="AO141" s="197" t="s">
        <v>2242</v>
      </c>
      <c r="AP141" s="198">
        <v>738</v>
      </c>
      <c r="AQ141">
        <v>25</v>
      </c>
      <c r="AR141">
        <v>25</v>
      </c>
      <c r="AS141">
        <v>4</v>
      </c>
      <c r="AT141">
        <v>3</v>
      </c>
      <c r="AU141">
        <v>61.5</v>
      </c>
      <c r="AV141">
        <v>130</v>
      </c>
      <c r="AW141">
        <v>32.6</v>
      </c>
      <c r="AY141" s="38" t="b">
        <f t="shared" si="44"/>
        <v>0</v>
      </c>
      <c r="AZ141" s="25" t="b">
        <f t="shared" si="45"/>
        <v>0</v>
      </c>
      <c r="BA141" s="25">
        <f t="shared" si="46"/>
        <v>140</v>
      </c>
      <c r="BB141" s="25">
        <f t="shared" si="47"/>
        <v>140</v>
      </c>
      <c r="BC141" s="25" t="b">
        <f t="shared" si="48"/>
        <v>0</v>
      </c>
      <c r="BI141" s="17">
        <f t="shared" si="53"/>
        <v>500</v>
      </c>
      <c r="BJ141" s="7">
        <f t="shared" si="54"/>
        <v>1.659523650625</v>
      </c>
      <c r="BK141" s="10">
        <f t="shared" ref="BK141:BT141" si="57">BK140/1.1</f>
        <v>1.1952735468888733</v>
      </c>
      <c r="BL141" s="10">
        <f t="shared" si="57"/>
        <v>1.0866123153535212</v>
      </c>
      <c r="BM141" s="10">
        <f t="shared" si="57"/>
        <v>0.98782937759411016</v>
      </c>
      <c r="BN141" s="10">
        <f t="shared" si="57"/>
        <v>0.89802670690373643</v>
      </c>
      <c r="BO141" s="10">
        <f t="shared" si="57"/>
        <v>0.81638791536703303</v>
      </c>
      <c r="BP141" s="10">
        <f t="shared" si="57"/>
        <v>0.7421708321518482</v>
      </c>
      <c r="BQ141" s="10">
        <f t="shared" si="57"/>
        <v>0.67470075650168015</v>
      </c>
      <c r="BR141" s="10">
        <f t="shared" si="57"/>
        <v>0.61336432409243646</v>
      </c>
      <c r="BS141" s="10">
        <f t="shared" si="57"/>
        <v>0.557603930993124</v>
      </c>
      <c r="BT141" s="10">
        <f t="shared" si="57"/>
        <v>0.50691266453920358</v>
      </c>
      <c r="BX141" s="43" t="str">
        <f>IF(BX140=FALSE,BX139,"")</f>
        <v/>
      </c>
      <c r="CA141" s="33"/>
      <c r="CB141" s="33"/>
      <c r="CD141" s="9">
        <v>46</v>
      </c>
      <c r="CE141" s="45">
        <f ca="1">LOOKUP(CB$54,CF$5:DP$5,CF141:DP141)</f>
        <v>0</v>
      </c>
      <c r="CF141" s="45"/>
      <c r="CR141" s="44"/>
      <c r="DD141" s="127" t="str">
        <f>CONCATENATE(CD141,DR100,DS100,DT100)</f>
        <v>46 CP IPA+90 IZ+0.25 DR+</v>
      </c>
    </row>
    <row r="142" spans="37:171" ht="16.05" customHeight="1">
      <c r="AK142" s="4">
        <v>141</v>
      </c>
      <c r="AL142" s="4">
        <v>1</v>
      </c>
      <c r="AM142" s="4">
        <v>1</v>
      </c>
      <c r="AN142" s="4">
        <v>1</v>
      </c>
      <c r="AO142" s="197" t="s">
        <v>2243</v>
      </c>
      <c r="AP142" s="198">
        <v>811.9</v>
      </c>
      <c r="AQ142">
        <v>25</v>
      </c>
      <c r="AR142">
        <v>25</v>
      </c>
      <c r="AS142">
        <v>3</v>
      </c>
      <c r="AT142">
        <v>4</v>
      </c>
      <c r="AU142">
        <v>78</v>
      </c>
      <c r="AV142">
        <v>150</v>
      </c>
      <c r="AW142">
        <v>35.6</v>
      </c>
      <c r="AY142" s="38" t="b">
        <f t="shared" si="44"/>
        <v>0</v>
      </c>
      <c r="AZ142" s="25" t="b">
        <f t="shared" si="45"/>
        <v>0</v>
      </c>
      <c r="BA142" s="25">
        <f t="shared" si="46"/>
        <v>141</v>
      </c>
      <c r="BB142" s="25">
        <f t="shared" si="47"/>
        <v>141</v>
      </c>
      <c r="BC142" s="25" t="b">
        <f t="shared" si="48"/>
        <v>0</v>
      </c>
      <c r="BI142" s="17">
        <f t="shared" si="53"/>
        <v>600</v>
      </c>
      <c r="BJ142" s="7">
        <f t="shared" si="54"/>
        <v>1.8835593434593749</v>
      </c>
      <c r="BK142" s="10">
        <f t="shared" ref="BK142:BT142" si="58">BK141/1.1</f>
        <v>1.0866123153535212</v>
      </c>
      <c r="BL142" s="10">
        <f t="shared" si="58"/>
        <v>0.98782937759411016</v>
      </c>
      <c r="BM142" s="10">
        <f t="shared" si="58"/>
        <v>0.89802670690373643</v>
      </c>
      <c r="BN142" s="10">
        <f t="shared" si="58"/>
        <v>0.81638791536703303</v>
      </c>
      <c r="BO142" s="10">
        <f t="shared" si="58"/>
        <v>0.7421708321518482</v>
      </c>
      <c r="BP142" s="10">
        <f t="shared" si="58"/>
        <v>0.67470075650168015</v>
      </c>
      <c r="BQ142" s="10">
        <f t="shared" si="58"/>
        <v>0.61336432409243646</v>
      </c>
      <c r="BR142" s="10">
        <f t="shared" si="58"/>
        <v>0.557603930993124</v>
      </c>
      <c r="BS142" s="10">
        <f t="shared" si="58"/>
        <v>0.50691266453920358</v>
      </c>
      <c r="BT142" s="10">
        <f t="shared" si="58"/>
        <v>0.46082969503563959</v>
      </c>
      <c r="BW142" s="7" t="s">
        <v>839</v>
      </c>
      <c r="BX142" s="27" t="str">
        <f>IF(BS162=BT106,2,BX141)</f>
        <v/>
      </c>
      <c r="CA142" s="33"/>
      <c r="CB142" s="33"/>
      <c r="CR142" s="44"/>
    </row>
    <row r="143" spans="37:171" ht="16.05" customHeight="1">
      <c r="AK143" s="4">
        <v>142</v>
      </c>
      <c r="AL143" s="4">
        <v>1</v>
      </c>
      <c r="AM143" s="4">
        <v>1</v>
      </c>
      <c r="AN143" s="4">
        <v>2</v>
      </c>
      <c r="AO143" s="197" t="s">
        <v>2244</v>
      </c>
      <c r="AP143" s="198">
        <v>738</v>
      </c>
      <c r="AQ143">
        <v>25</v>
      </c>
      <c r="AR143">
        <v>25</v>
      </c>
      <c r="AS143">
        <v>3</v>
      </c>
      <c r="AT143">
        <v>6</v>
      </c>
      <c r="AU143">
        <v>61.38</v>
      </c>
      <c r="AV143">
        <v>130</v>
      </c>
      <c r="AW143">
        <v>34.524999999999999</v>
      </c>
      <c r="AY143" s="38" t="b">
        <f t="shared" si="44"/>
        <v>0</v>
      </c>
      <c r="AZ143" s="25" t="b">
        <f t="shared" si="45"/>
        <v>0</v>
      </c>
      <c r="BA143" s="25">
        <f t="shared" si="46"/>
        <v>142</v>
      </c>
      <c r="BB143" s="25" t="b">
        <f t="shared" si="47"/>
        <v>0</v>
      </c>
      <c r="BC143" s="25" t="b">
        <f t="shared" si="48"/>
        <v>0</v>
      </c>
      <c r="BI143" s="17">
        <f t="shared" si="53"/>
        <v>700</v>
      </c>
      <c r="BJ143" s="7">
        <f t="shared" si="54"/>
        <v>2.1378398548263906</v>
      </c>
      <c r="BK143" s="10">
        <f t="shared" ref="BK143:BT143" si="59">BK142/1.1</f>
        <v>0.98782937759411016</v>
      </c>
      <c r="BL143" s="10">
        <f t="shared" si="59"/>
        <v>0.89802670690373643</v>
      </c>
      <c r="BM143" s="10">
        <f t="shared" si="59"/>
        <v>0.81638791536703303</v>
      </c>
      <c r="BN143" s="10">
        <f t="shared" si="59"/>
        <v>0.7421708321518482</v>
      </c>
      <c r="BO143" s="10">
        <f t="shared" si="59"/>
        <v>0.67470075650168015</v>
      </c>
      <c r="BP143" s="10">
        <f t="shared" si="59"/>
        <v>0.61336432409243646</v>
      </c>
      <c r="BQ143" s="10">
        <f t="shared" si="59"/>
        <v>0.557603930993124</v>
      </c>
      <c r="BR143" s="10">
        <f t="shared" si="59"/>
        <v>0.50691266453920358</v>
      </c>
      <c r="BS143" s="10">
        <f t="shared" si="59"/>
        <v>0.46082969503563959</v>
      </c>
      <c r="BT143" s="10">
        <f t="shared" si="59"/>
        <v>0.41893608639603597</v>
      </c>
      <c r="CA143" s="33"/>
      <c r="CB143" s="33"/>
      <c r="CR143" s="44"/>
    </row>
    <row r="144" spans="37:171" ht="16.05" customHeight="1">
      <c r="AK144" s="4">
        <v>143</v>
      </c>
      <c r="AL144" s="4">
        <v>1</v>
      </c>
      <c r="AM144" s="4">
        <v>1</v>
      </c>
      <c r="AN144" s="4">
        <v>1</v>
      </c>
      <c r="AO144" s="197" t="s">
        <v>2245</v>
      </c>
      <c r="AP144" s="198">
        <v>738</v>
      </c>
      <c r="AQ144">
        <v>25</v>
      </c>
      <c r="AR144">
        <v>25</v>
      </c>
      <c r="AS144">
        <v>3</v>
      </c>
      <c r="AT144">
        <v>4</v>
      </c>
      <c r="AU144">
        <v>58</v>
      </c>
      <c r="AV144">
        <v>130</v>
      </c>
      <c r="AW144">
        <v>35.6</v>
      </c>
      <c r="AY144" s="38" t="b">
        <f t="shared" si="44"/>
        <v>0</v>
      </c>
      <c r="AZ144" s="25" t="b">
        <f t="shared" si="45"/>
        <v>0</v>
      </c>
      <c r="BA144" s="25">
        <f t="shared" si="46"/>
        <v>143</v>
      </c>
      <c r="BB144" s="25">
        <f t="shared" si="47"/>
        <v>143</v>
      </c>
      <c r="BC144" s="25" t="b">
        <f t="shared" si="48"/>
        <v>0</v>
      </c>
      <c r="BI144" s="17">
        <f t="shared" si="53"/>
        <v>800</v>
      </c>
      <c r="BJ144" s="7">
        <f t="shared" si="54"/>
        <v>2.4264482352279533</v>
      </c>
      <c r="BK144" s="10">
        <f t="shared" ref="BK144:BT144" si="60">BK143/1.1</f>
        <v>0.89802670690373643</v>
      </c>
      <c r="BL144" s="10">
        <f t="shared" si="60"/>
        <v>0.81638791536703303</v>
      </c>
      <c r="BM144" s="10">
        <f t="shared" si="60"/>
        <v>0.7421708321518482</v>
      </c>
      <c r="BN144" s="10">
        <f t="shared" si="60"/>
        <v>0.67470075650168015</v>
      </c>
      <c r="BO144" s="10">
        <f t="shared" si="60"/>
        <v>0.61336432409243646</v>
      </c>
      <c r="BP144" s="10">
        <f t="shared" si="60"/>
        <v>0.557603930993124</v>
      </c>
      <c r="BQ144" s="10">
        <f t="shared" si="60"/>
        <v>0.50691266453920358</v>
      </c>
      <c r="BR144" s="10">
        <f t="shared" si="60"/>
        <v>0.46082969503563959</v>
      </c>
      <c r="BS144" s="10">
        <f t="shared" si="60"/>
        <v>0.41893608639603597</v>
      </c>
      <c r="BT144" s="10">
        <f t="shared" si="60"/>
        <v>0.38085098763275993</v>
      </c>
      <c r="CA144" s="33"/>
      <c r="CB144" s="33"/>
      <c r="CD144" s="9">
        <v>47</v>
      </c>
      <c r="CE144" s="45">
        <f ca="1">LOOKUP(CB$54,CF$5:DP$5,CF144:DP144)</f>
        <v>0</v>
      </c>
      <c r="CF144" s="45"/>
      <c r="CR144" s="44"/>
      <c r="DD144" s="127" t="str">
        <f>CONCATENATE(CD144,DR103,FW33,DT103,DU103,DV103)</f>
        <v>47 L IX-2.564 IY-2.5 R0</v>
      </c>
    </row>
    <row r="145" spans="36:171" ht="16.05" customHeight="1">
      <c r="AK145" s="4">
        <v>144</v>
      </c>
      <c r="AL145" s="4">
        <v>1</v>
      </c>
      <c r="AM145" s="4">
        <v>1</v>
      </c>
      <c r="AN145" s="4">
        <v>1</v>
      </c>
      <c r="AO145" s="197" t="s">
        <v>2246</v>
      </c>
      <c r="AP145" s="198">
        <v>541.20000000000005</v>
      </c>
      <c r="AQ145">
        <v>20</v>
      </c>
      <c r="AR145">
        <v>20</v>
      </c>
      <c r="AS145">
        <v>6</v>
      </c>
      <c r="AT145">
        <v>2</v>
      </c>
      <c r="AU145">
        <v>43</v>
      </c>
      <c r="AV145">
        <v>100</v>
      </c>
      <c r="AW145">
        <v>23.6</v>
      </c>
      <c r="AY145" s="38" t="b">
        <f t="shared" si="44"/>
        <v>0</v>
      </c>
      <c r="AZ145" s="25">
        <f t="shared" si="45"/>
        <v>144</v>
      </c>
      <c r="BA145" s="25">
        <f t="shared" si="46"/>
        <v>144</v>
      </c>
      <c r="BB145" s="25">
        <f t="shared" si="47"/>
        <v>144</v>
      </c>
      <c r="BC145" s="25" t="b">
        <f t="shared" si="48"/>
        <v>0</v>
      </c>
      <c r="BI145" s="17">
        <f t="shared" si="53"/>
        <v>900</v>
      </c>
      <c r="BJ145" s="7">
        <f t="shared" si="54"/>
        <v>2.7540187469837272</v>
      </c>
      <c r="BK145" s="10">
        <f t="shared" ref="BK145:BT145" si="61">BK144/1.1</f>
        <v>0.81638791536703303</v>
      </c>
      <c r="BL145" s="10">
        <f t="shared" si="61"/>
        <v>0.7421708321518482</v>
      </c>
      <c r="BM145" s="10">
        <f t="shared" si="61"/>
        <v>0.67470075650168015</v>
      </c>
      <c r="BN145" s="10">
        <f t="shared" si="61"/>
        <v>0.61336432409243646</v>
      </c>
      <c r="BO145" s="10">
        <f t="shared" si="61"/>
        <v>0.557603930993124</v>
      </c>
      <c r="BP145" s="10">
        <f t="shared" si="61"/>
        <v>0.50691266453920358</v>
      </c>
      <c r="BQ145" s="10">
        <f t="shared" si="61"/>
        <v>0.46082969503563959</v>
      </c>
      <c r="BR145" s="10">
        <f t="shared" si="61"/>
        <v>0.41893608639603597</v>
      </c>
      <c r="BS145" s="10">
        <f t="shared" si="61"/>
        <v>0.38085098763275993</v>
      </c>
      <c r="BT145" s="10">
        <f t="shared" si="61"/>
        <v>0.34622817057523625</v>
      </c>
      <c r="CA145" s="33"/>
      <c r="CB145" s="33"/>
      <c r="CR145" s="44"/>
    </row>
    <row r="146" spans="36:171" ht="16.05" customHeight="1">
      <c r="AK146" s="4">
        <v>145</v>
      </c>
      <c r="AL146" s="4">
        <v>1</v>
      </c>
      <c r="AM146" s="4">
        <v>1</v>
      </c>
      <c r="AN146" s="4">
        <v>2</v>
      </c>
      <c r="AO146" s="197" t="s">
        <v>2247</v>
      </c>
      <c r="AP146" s="198">
        <v>541.20000000000005</v>
      </c>
      <c r="AQ146">
        <v>20</v>
      </c>
      <c r="AR146">
        <v>20</v>
      </c>
      <c r="AS146">
        <v>4</v>
      </c>
      <c r="AT146">
        <v>8</v>
      </c>
      <c r="AU146">
        <v>49.21</v>
      </c>
      <c r="AV146">
        <v>120</v>
      </c>
      <c r="AW146">
        <v>26</v>
      </c>
      <c r="AY146" s="38" t="b">
        <f t="shared" si="44"/>
        <v>0</v>
      </c>
      <c r="AZ146" s="25" t="b">
        <f t="shared" si="45"/>
        <v>0</v>
      </c>
      <c r="BA146" s="25">
        <f t="shared" si="46"/>
        <v>145</v>
      </c>
      <c r="BB146" s="25" t="b">
        <f t="shared" si="47"/>
        <v>0</v>
      </c>
      <c r="BC146" s="25" t="b">
        <f t="shared" si="48"/>
        <v>0</v>
      </c>
      <c r="BI146" s="17">
        <f t="shared" si="53"/>
        <v>1000</v>
      </c>
      <c r="BJ146" s="7">
        <f t="shared" si="54"/>
        <v>3.1258112778265303</v>
      </c>
      <c r="BK146" s="10">
        <f t="shared" ref="BK146:BT146" si="62">BK145/1.1</f>
        <v>0.7421708321518482</v>
      </c>
      <c r="BL146" s="10">
        <f t="shared" si="62"/>
        <v>0.67470075650168015</v>
      </c>
      <c r="BM146" s="10">
        <f t="shared" si="62"/>
        <v>0.61336432409243646</v>
      </c>
      <c r="BN146" s="10">
        <f t="shared" si="62"/>
        <v>0.557603930993124</v>
      </c>
      <c r="BO146" s="10">
        <f t="shared" si="62"/>
        <v>0.50691266453920358</v>
      </c>
      <c r="BP146" s="10">
        <f t="shared" si="62"/>
        <v>0.46082969503563959</v>
      </c>
      <c r="BQ146" s="10">
        <f t="shared" si="62"/>
        <v>0.41893608639603597</v>
      </c>
      <c r="BR146" s="10">
        <f t="shared" si="62"/>
        <v>0.38085098763275993</v>
      </c>
      <c r="BS146" s="10">
        <f t="shared" si="62"/>
        <v>0.34622817057523625</v>
      </c>
      <c r="BT146" s="10">
        <f t="shared" si="62"/>
        <v>0.31475288234112386</v>
      </c>
      <c r="CA146" s="33"/>
      <c r="CB146" s="33"/>
      <c r="CR146" s="44"/>
    </row>
    <row r="147" spans="36:171" ht="16.05" customHeight="1">
      <c r="AK147" s="4">
        <v>146</v>
      </c>
      <c r="AL147" s="4">
        <v>1</v>
      </c>
      <c r="AM147" s="4">
        <v>1</v>
      </c>
      <c r="AN147" s="4">
        <v>1</v>
      </c>
      <c r="AO147" s="197" t="s">
        <v>2248</v>
      </c>
      <c r="AP147" s="198">
        <v>501</v>
      </c>
      <c r="AQ147">
        <v>20</v>
      </c>
      <c r="AR147">
        <v>20</v>
      </c>
      <c r="AS147">
        <v>4</v>
      </c>
      <c r="AT147">
        <v>3</v>
      </c>
      <c r="AU147">
        <v>46.5</v>
      </c>
      <c r="AV147">
        <v>120</v>
      </c>
      <c r="AW147">
        <v>26.6</v>
      </c>
      <c r="AY147" s="38" t="b">
        <f t="shared" si="44"/>
        <v>0</v>
      </c>
      <c r="AZ147" s="25" t="b">
        <f t="shared" si="45"/>
        <v>0</v>
      </c>
      <c r="BA147" s="25">
        <f t="shared" si="46"/>
        <v>146</v>
      </c>
      <c r="BB147" s="25">
        <f t="shared" si="47"/>
        <v>146</v>
      </c>
      <c r="BC147" s="25" t="b">
        <f t="shared" si="48"/>
        <v>0</v>
      </c>
      <c r="BI147" s="17">
        <f t="shared" si="53"/>
        <v>1100</v>
      </c>
      <c r="BJ147" s="7">
        <f t="shared" si="54"/>
        <v>3.547795800333112</v>
      </c>
      <c r="BK147" s="10">
        <f t="shared" ref="BK147:BT147" si="63">BK146/1.1</f>
        <v>0.67470075650168015</v>
      </c>
      <c r="BL147" s="10">
        <f t="shared" si="63"/>
        <v>0.61336432409243646</v>
      </c>
      <c r="BM147" s="10">
        <f t="shared" si="63"/>
        <v>0.557603930993124</v>
      </c>
      <c r="BN147" s="10">
        <f t="shared" si="63"/>
        <v>0.50691266453920358</v>
      </c>
      <c r="BO147" s="10">
        <f t="shared" si="63"/>
        <v>0.46082969503563959</v>
      </c>
      <c r="BP147" s="10">
        <f t="shared" si="63"/>
        <v>0.41893608639603597</v>
      </c>
      <c r="BQ147" s="10">
        <f t="shared" si="63"/>
        <v>0.38085098763275993</v>
      </c>
      <c r="BR147" s="10">
        <f t="shared" si="63"/>
        <v>0.34622817057523625</v>
      </c>
      <c r="BS147" s="10">
        <f t="shared" si="63"/>
        <v>0.31475288234112386</v>
      </c>
      <c r="BT147" s="10">
        <f t="shared" si="63"/>
        <v>0.28613898394647619</v>
      </c>
      <c r="BW147" s="7"/>
      <c r="BX147" s="25">
        <f>C12/BT106-0.001</f>
        <v>12.499000000000001</v>
      </c>
      <c r="CA147" s="33"/>
      <c r="CB147" s="33"/>
      <c r="CD147" s="9">
        <v>48</v>
      </c>
      <c r="CE147" s="45">
        <f ca="1">LOOKUP(CB$54,CF$5:DP$5,CF147:DP147)</f>
        <v>0</v>
      </c>
      <c r="CF147" s="45"/>
      <c r="CR147" s="44"/>
      <c r="DD147" s="127" t="str">
        <f>CONCATENATE(CD147,DR106,DS106,DT106)</f>
        <v>48 L IZ+102.5 FMAX</v>
      </c>
    </row>
    <row r="148" spans="36:171" ht="16.05" customHeight="1">
      <c r="AK148" s="4">
        <v>147</v>
      </c>
      <c r="AL148" s="4">
        <v>1</v>
      </c>
      <c r="AM148" s="4">
        <v>1</v>
      </c>
      <c r="AN148" s="4">
        <v>1</v>
      </c>
      <c r="AO148" s="197" t="s">
        <v>2249</v>
      </c>
      <c r="AP148" s="198">
        <v>654.79999999999995</v>
      </c>
      <c r="AQ148">
        <v>20</v>
      </c>
      <c r="AR148">
        <v>20</v>
      </c>
      <c r="AS148">
        <v>3</v>
      </c>
      <c r="AT148">
        <v>3.5</v>
      </c>
      <c r="AU148">
        <v>78.75</v>
      </c>
      <c r="AV148">
        <v>150</v>
      </c>
      <c r="AW148">
        <v>29.6</v>
      </c>
      <c r="AY148" s="38" t="b">
        <f t="shared" si="44"/>
        <v>0</v>
      </c>
      <c r="AZ148" s="25" t="b">
        <f t="shared" si="45"/>
        <v>0</v>
      </c>
      <c r="BA148" s="25">
        <f t="shared" si="46"/>
        <v>147</v>
      </c>
      <c r="BB148" s="25">
        <f t="shared" si="47"/>
        <v>147</v>
      </c>
      <c r="BC148" s="25" t="b">
        <f t="shared" si="48"/>
        <v>0</v>
      </c>
      <c r="BI148" s="17">
        <f t="shared" si="53"/>
        <v>1200</v>
      </c>
      <c r="BJ148" s="7">
        <f t="shared" si="54"/>
        <v>4.0267482333780826</v>
      </c>
      <c r="BK148" s="10">
        <f t="shared" ref="BK148:BT148" si="64">BK147/1.1</f>
        <v>0.61336432409243646</v>
      </c>
      <c r="BL148" s="10">
        <f t="shared" si="64"/>
        <v>0.557603930993124</v>
      </c>
      <c r="BM148" s="10">
        <f t="shared" si="64"/>
        <v>0.50691266453920358</v>
      </c>
      <c r="BN148" s="10">
        <f t="shared" si="64"/>
        <v>0.46082969503563959</v>
      </c>
      <c r="BO148" s="10">
        <f t="shared" si="64"/>
        <v>0.41893608639603597</v>
      </c>
      <c r="BP148" s="10">
        <f t="shared" si="64"/>
        <v>0.38085098763275993</v>
      </c>
      <c r="BQ148" s="10">
        <f t="shared" si="64"/>
        <v>0.34622817057523625</v>
      </c>
      <c r="BR148" s="10">
        <f t="shared" si="64"/>
        <v>0.31475288234112386</v>
      </c>
      <c r="BS148" s="10">
        <f t="shared" si="64"/>
        <v>0.28613898394647619</v>
      </c>
      <c r="BT148" s="10">
        <f t="shared" si="64"/>
        <v>0.26012634904225107</v>
      </c>
      <c r="BW148" s="7" t="s">
        <v>535</v>
      </c>
      <c r="BX148" s="50">
        <f>INT(BX147)+1</f>
        <v>13</v>
      </c>
      <c r="CA148" s="33"/>
      <c r="CB148" s="33"/>
      <c r="CR148" s="44"/>
      <c r="FN148" s="118">
        <v>26</v>
      </c>
      <c r="FO148" s="126" t="s">
        <v>25</v>
      </c>
    </row>
    <row r="149" spans="36:171" ht="16.05" customHeight="1">
      <c r="AK149" s="4">
        <v>148</v>
      </c>
      <c r="AL149" s="4">
        <v>1</v>
      </c>
      <c r="AM149" s="4">
        <v>1</v>
      </c>
      <c r="AN149" s="4">
        <v>1</v>
      </c>
      <c r="AO149" s="197" t="s">
        <v>2250</v>
      </c>
      <c r="AP149" s="198">
        <v>595.20000000000005</v>
      </c>
      <c r="AQ149">
        <v>20</v>
      </c>
      <c r="AR149">
        <v>20</v>
      </c>
      <c r="AS149">
        <v>3</v>
      </c>
      <c r="AT149">
        <v>3.5</v>
      </c>
      <c r="AU149">
        <v>64.75</v>
      </c>
      <c r="AV149">
        <v>150</v>
      </c>
      <c r="AW149">
        <v>29.6</v>
      </c>
      <c r="AY149" s="38" t="b">
        <f t="shared" si="44"/>
        <v>0</v>
      </c>
      <c r="AZ149" s="25" t="b">
        <f t="shared" si="45"/>
        <v>0</v>
      </c>
      <c r="BA149" s="25">
        <f t="shared" si="46"/>
        <v>148</v>
      </c>
      <c r="BB149" s="25">
        <f t="shared" si="47"/>
        <v>148</v>
      </c>
      <c r="BC149" s="25" t="b">
        <f t="shared" si="48"/>
        <v>0</v>
      </c>
      <c r="BI149" s="13"/>
      <c r="BJ149" s="15"/>
      <c r="BK149" s="10"/>
      <c r="BL149" s="9"/>
      <c r="BM149" s="10"/>
      <c r="BN149" s="10"/>
      <c r="BO149" s="10"/>
      <c r="BP149" s="10"/>
      <c r="BQ149" s="10"/>
      <c r="BR149" s="10"/>
      <c r="BS149" s="10"/>
      <c r="BT149" s="10"/>
      <c r="CA149" s="33"/>
      <c r="CB149" s="33"/>
      <c r="CR149" s="44"/>
    </row>
    <row r="150" spans="36:171" ht="16.05" customHeight="1">
      <c r="AK150" s="4">
        <v>149</v>
      </c>
      <c r="AL150" s="4">
        <v>1</v>
      </c>
      <c r="AM150" s="4">
        <v>1</v>
      </c>
      <c r="AN150" s="4">
        <v>2</v>
      </c>
      <c r="AO150" s="197" t="s">
        <v>2251</v>
      </c>
      <c r="AP150" s="198">
        <v>541.20000000000005</v>
      </c>
      <c r="AQ150">
        <v>20</v>
      </c>
      <c r="AR150">
        <v>20</v>
      </c>
      <c r="AS150">
        <v>3</v>
      </c>
      <c r="AT150">
        <v>7</v>
      </c>
      <c r="AU150">
        <v>52.61</v>
      </c>
      <c r="AV150">
        <v>120</v>
      </c>
      <c r="AW150">
        <v>28.175000000000001</v>
      </c>
      <c r="AY150" s="38" t="b">
        <f t="shared" si="44"/>
        <v>0</v>
      </c>
      <c r="AZ150" s="25" t="b">
        <f t="shared" si="45"/>
        <v>0</v>
      </c>
      <c r="BA150" s="25">
        <f t="shared" si="46"/>
        <v>149</v>
      </c>
      <c r="BB150" s="25" t="b">
        <f t="shared" si="47"/>
        <v>0</v>
      </c>
      <c r="BC150" s="25" t="b">
        <f t="shared" si="48"/>
        <v>0</v>
      </c>
      <c r="BI150" s="13"/>
      <c r="BJ150" s="15"/>
      <c r="BK150" s="10"/>
      <c r="BL150" s="9"/>
      <c r="BM150" s="15" t="s">
        <v>636</v>
      </c>
      <c r="BN150" s="15" t="s">
        <v>637</v>
      </c>
      <c r="BO150" s="10"/>
      <c r="BP150" s="10"/>
      <c r="BQ150" s="10"/>
      <c r="BR150" s="10"/>
      <c r="BS150" s="10"/>
      <c r="BT150" s="10"/>
      <c r="CA150" s="33"/>
      <c r="CB150" s="33"/>
      <c r="CR150" s="44"/>
    </row>
    <row r="151" spans="36:171" ht="16.05" customHeight="1">
      <c r="AK151" s="4">
        <v>150</v>
      </c>
      <c r="AL151" s="4">
        <v>1</v>
      </c>
      <c r="AM151" s="4">
        <v>1</v>
      </c>
      <c r="AN151" s="4">
        <v>1</v>
      </c>
      <c r="AO151" s="197" t="s">
        <v>2252</v>
      </c>
      <c r="AP151" s="198">
        <v>541.20000000000005</v>
      </c>
      <c r="AQ151">
        <v>20</v>
      </c>
      <c r="AR151">
        <v>20</v>
      </c>
      <c r="AS151">
        <v>3</v>
      </c>
      <c r="AT151">
        <v>3.5</v>
      </c>
      <c r="AU151">
        <v>50.75</v>
      </c>
      <c r="AV151">
        <v>120</v>
      </c>
      <c r="AW151">
        <v>29.6</v>
      </c>
      <c r="AY151" s="38" t="b">
        <f t="shared" si="44"/>
        <v>0</v>
      </c>
      <c r="AZ151" s="25" t="b">
        <f t="shared" si="45"/>
        <v>0</v>
      </c>
      <c r="BA151" s="25">
        <f t="shared" si="46"/>
        <v>150</v>
      </c>
      <c r="BB151" s="25">
        <f t="shared" si="47"/>
        <v>150</v>
      </c>
      <c r="BC151" s="25" t="b">
        <f t="shared" si="48"/>
        <v>0</v>
      </c>
      <c r="BI151" s="13"/>
      <c r="BJ151" s="13" t="s">
        <v>882</v>
      </c>
      <c r="BK151" s="10">
        <f>0.54*BT106</f>
        <v>1.08</v>
      </c>
      <c r="BL151" s="9"/>
      <c r="BM151" s="9"/>
      <c r="BN151" s="9"/>
      <c r="BO151" s="10"/>
      <c r="BP151" s="10" t="b">
        <f>IF(BN155=101,BK137,IF(BN155=102,BL137,IF(BN155=103,BM137,IF(BN155=104,BN137,IF(BN155=105,BO137,IF(BN155=106,BP137,IF(BN155=107,BQ137,IF(BN155=108,BR137))))))))</f>
        <v>0</v>
      </c>
      <c r="BQ151" s="10" t="b">
        <f>IF(BN155=501,BK141,IF(BN155=502,BL141,IF(BN155=503,BM141,IF(BN155=504,BN141,IF(BN155=505,BO141,IF(BN155=506,BP141,IF(BN155=507,BQ141,IF(BN155=508,BR141))))))))</f>
        <v>0</v>
      </c>
      <c r="BR151" s="10" t="b">
        <f>IF(BN155=901,BK145,IF(BN155=902,BL145,IF(BN155=903,BM145,IF(BN155=904,BN145,IF(BN155=905,BO145,IF(BN155=906,BP145,IF(BN155=907,BQ145,IF(BN155=908,BR145))))))))</f>
        <v>0</v>
      </c>
      <c r="BS151" s="10"/>
      <c r="BT151" s="10"/>
      <c r="CA151" s="33"/>
      <c r="CB151" s="33"/>
      <c r="CR151" s="44"/>
    </row>
    <row r="152" spans="36:171" ht="16.05" customHeight="1">
      <c r="AK152" s="4">
        <v>151</v>
      </c>
      <c r="AL152" s="4">
        <v>1</v>
      </c>
      <c r="AM152" s="4">
        <v>1</v>
      </c>
      <c r="AN152" s="4">
        <v>1</v>
      </c>
      <c r="AO152" s="197" t="s">
        <v>2253</v>
      </c>
      <c r="AP152" s="198">
        <v>501</v>
      </c>
      <c r="AQ152">
        <v>18</v>
      </c>
      <c r="AR152">
        <v>18</v>
      </c>
      <c r="AS152">
        <v>3</v>
      </c>
      <c r="AT152">
        <v>3</v>
      </c>
      <c r="AU152">
        <v>64.5</v>
      </c>
      <c r="AV152">
        <v>130</v>
      </c>
      <c r="AW152">
        <v>23.6</v>
      </c>
      <c r="AY152" s="38" t="b">
        <f t="shared" si="44"/>
        <v>0</v>
      </c>
      <c r="AZ152" s="25" t="b">
        <f t="shared" si="45"/>
        <v>0</v>
      </c>
      <c r="BA152" s="25">
        <f t="shared" si="46"/>
        <v>151</v>
      </c>
      <c r="BB152" s="25">
        <f t="shared" si="47"/>
        <v>151</v>
      </c>
      <c r="BC152" s="25" t="b">
        <f t="shared" si="48"/>
        <v>0</v>
      </c>
      <c r="BI152" s="13"/>
      <c r="BJ152" s="13" t="s">
        <v>904</v>
      </c>
      <c r="BK152" s="11">
        <f>BK151/BM113</f>
        <v>6.7500000000000004E-2</v>
      </c>
      <c r="BL152" s="9"/>
      <c r="BM152" s="25">
        <f>LOOKUP(BK152,BK136:BT136,BK135:BT135)</f>
        <v>3</v>
      </c>
      <c r="BN152" s="25">
        <f>LOOKUP(BK153,BJ137:BJ148,BI137:BI148)</f>
        <v>400</v>
      </c>
      <c r="BO152" s="10"/>
      <c r="BP152" s="10" t="b">
        <f>IF(BN155=109,BS137,IF(BN155=110,BT137,IF(BN155=201,BK138,IF(BN155=202,BL138,IF(BN155=203,BM138,IF(BN155=204,BN138,IF(BN155=205,BO138,IF(BN155=206,BP138))))))))</f>
        <v>0</v>
      </c>
      <c r="BQ152" s="10" t="b">
        <f>IF(BN155=509,BS141,IF(BN155=510,BT141,IF(BN155=601,BK142,IF(BN155=602,BL142,IF(BN155=603,BM142,IF(BN155=604,BN142,IF(BN155=605,BO142,IF(BN155=606,BP142))))))))</f>
        <v>0</v>
      </c>
      <c r="BR152" s="10" t="b">
        <f>IF(BN155=909,BS145,IF(BN155=910,BT145,IF(BN155=1001,BK146,IF(BN155=1002,BL146,IF(BN155=1003,BM146,IF(BN155=1004,BN146,IF(BN155=1005,BO146,IF(BN155=1006,BP146))))))))</f>
        <v>0</v>
      </c>
      <c r="BS152" s="10"/>
      <c r="BT152" s="10"/>
      <c r="CA152" s="33"/>
      <c r="CB152" s="33"/>
      <c r="CR152" s="44"/>
    </row>
    <row r="153" spans="36:171" ht="16.05" customHeight="1">
      <c r="AK153" s="4">
        <v>152</v>
      </c>
      <c r="AL153" s="4">
        <v>1</v>
      </c>
      <c r="AM153" s="4">
        <v>1</v>
      </c>
      <c r="AN153" s="4">
        <v>1</v>
      </c>
      <c r="AO153" s="197" t="s">
        <v>2254</v>
      </c>
      <c r="AP153" s="198">
        <v>430.7</v>
      </c>
      <c r="AQ153">
        <v>16</v>
      </c>
      <c r="AR153">
        <v>16</v>
      </c>
      <c r="AS153">
        <v>6</v>
      </c>
      <c r="AT153">
        <v>1.5</v>
      </c>
      <c r="AU153">
        <v>35.25</v>
      </c>
      <c r="AV153">
        <v>100</v>
      </c>
      <c r="AW153">
        <v>19.600000000000001</v>
      </c>
      <c r="AY153" s="38">
        <f t="shared" si="44"/>
        <v>152</v>
      </c>
      <c r="AZ153" s="25" t="b">
        <f t="shared" si="45"/>
        <v>0</v>
      </c>
      <c r="BA153" s="25">
        <f t="shared" si="46"/>
        <v>152</v>
      </c>
      <c r="BB153" s="25">
        <f t="shared" si="47"/>
        <v>152</v>
      </c>
      <c r="BC153" s="25" t="b">
        <f t="shared" si="48"/>
        <v>0</v>
      </c>
      <c r="BI153" s="13"/>
      <c r="BJ153" s="13" t="s">
        <v>980</v>
      </c>
      <c r="BK153" s="10">
        <f>BK154/BM113</f>
        <v>1.5625</v>
      </c>
      <c r="BL153" s="9"/>
      <c r="BM153" s="9"/>
      <c r="BN153" s="9"/>
      <c r="BO153" s="10"/>
      <c r="BP153" s="10" t="b">
        <f>IF(BN155=207,BQ138,IF(BN155=208,BR138,IF(BN155=209,BS138,IF(BN155=210,BT138,IF(BN155=301,BK139,IF(BN155=302,BL139,IF(BN155=303,BM139,IF(BN155=304,BN139))))))))</f>
        <v>0</v>
      </c>
      <c r="BQ153" s="10" t="b">
        <f>IF(BN155=607,BQ142,IF(BN155=608,BR142,IF(BN155=609,BS142,IF(BN155=610,BT142,IF(BN155=701,BK143,IF(BN155=702,BL143,IF(BN155=703,BM143,IF(BN155=704,BN143))))))))</f>
        <v>0</v>
      </c>
      <c r="BR153" s="10" t="b">
        <f>IF(BN155=1007,BQ146,IF(BN155=1008,BR146,IF(BN155=1009,BS146,IF(BN155=1010,BT146,IF(BN155=1101,BK147,IF(BN155=1102,BL147,IF(BN155=1103,BM147,IF(BN155=1104,BN147))))))))</f>
        <v>0</v>
      </c>
      <c r="BS153" s="10"/>
      <c r="BT153" s="10"/>
      <c r="CA153" s="33"/>
      <c r="CB153" s="33"/>
      <c r="CR153" s="44"/>
    </row>
    <row r="154" spans="36:171" ht="16.05" customHeight="1">
      <c r="AJ154" t="s">
        <v>1816</v>
      </c>
      <c r="AK154" s="4">
        <v>153</v>
      </c>
      <c r="AL154" s="4">
        <v>1</v>
      </c>
      <c r="AM154" s="4">
        <v>1</v>
      </c>
      <c r="AN154" s="4">
        <v>1</v>
      </c>
      <c r="AO154" s="197" t="s">
        <v>2255</v>
      </c>
      <c r="AP154" s="198">
        <v>391.7</v>
      </c>
      <c r="AQ154">
        <v>16</v>
      </c>
      <c r="AR154">
        <v>16</v>
      </c>
      <c r="AS154">
        <v>6</v>
      </c>
      <c r="AT154">
        <v>1.5</v>
      </c>
      <c r="AU154">
        <v>26.25</v>
      </c>
      <c r="AV154">
        <v>89</v>
      </c>
      <c r="AW154">
        <v>19.600000000000001</v>
      </c>
      <c r="AY154" s="38">
        <f t="shared" si="44"/>
        <v>153</v>
      </c>
      <c r="AZ154" s="25" t="b">
        <f t="shared" si="45"/>
        <v>0</v>
      </c>
      <c r="BA154" s="25">
        <f t="shared" si="46"/>
        <v>153</v>
      </c>
      <c r="BB154" s="25">
        <f t="shared" si="47"/>
        <v>153</v>
      </c>
      <c r="BC154" s="25" t="b">
        <f t="shared" si="48"/>
        <v>0</v>
      </c>
      <c r="BI154" s="13"/>
      <c r="BJ154" s="15" t="s">
        <v>981</v>
      </c>
      <c r="BK154" s="10">
        <f>IF(C12&lt;=BS162,C12,BS162)</f>
        <v>25</v>
      </c>
      <c r="BL154" s="9"/>
      <c r="BM154" s="10"/>
      <c r="BN154" s="10"/>
      <c r="BO154" s="10"/>
      <c r="BP154" s="10" t="b">
        <f>IF(BN155=305,BO139,IF(BN155=306,BP139,IF(BN155=307,BQ139,IF(BN155=308,BR139,IF(BN155=309,BS139,IF(BN155=310,BT139,IF(BN155=401,BK140,IF(BN155=402,BL140))))))))</f>
        <v>0</v>
      </c>
      <c r="BQ154" s="10" t="b">
        <f>IF(BN155=705,BO143,IF(BN155=706,BP143,IF(BN155=707,BQ143,IF(BN155=708,BR143,IF(BN155=709,BS143,IF(BN155=710,BT143,IF(BN155=801,BK144,IF(BN155=802,BL144))))))))</f>
        <v>0</v>
      </c>
      <c r="BR154" s="10" t="b">
        <f>IF(BN155=1105,BO147,IF(BN155=1106,BP147,IF(BN155=1107,BQ147,IF(BN155=1108,BR147,IF(BN155=1109,BS147,IF(BN155=1110,BT147,IF(BN155=1201,BK148,IF(BN155=1202,BL148))))))))</f>
        <v>0</v>
      </c>
      <c r="BS154" s="10"/>
      <c r="BT154" s="10"/>
      <c r="CA154" s="39" t="s">
        <v>608</v>
      </c>
      <c r="CB154" s="33">
        <f>CB113-SUM(CB115:CB138)</f>
        <v>11</v>
      </c>
      <c r="CR154" s="44"/>
    </row>
    <row r="155" spans="36:171" ht="16.05" customHeight="1">
      <c r="AJ155" t="s">
        <v>1816</v>
      </c>
      <c r="AK155" s="4">
        <v>154</v>
      </c>
      <c r="AL155" s="4">
        <v>1</v>
      </c>
      <c r="AM155" s="4">
        <v>1</v>
      </c>
      <c r="AN155" s="4">
        <v>1</v>
      </c>
      <c r="AO155" s="197" t="s">
        <v>2256</v>
      </c>
      <c r="AP155" s="198">
        <v>356.1</v>
      </c>
      <c r="AQ155">
        <v>16</v>
      </c>
      <c r="AR155">
        <v>16</v>
      </c>
      <c r="AS155">
        <v>6</v>
      </c>
      <c r="AT155">
        <v>1.5</v>
      </c>
      <c r="AU155">
        <v>18.75</v>
      </c>
      <c r="AV155">
        <v>89</v>
      </c>
      <c r="AW155">
        <v>19.600000000000001</v>
      </c>
      <c r="AY155" s="38">
        <f t="shared" si="44"/>
        <v>154</v>
      </c>
      <c r="AZ155" s="25" t="b">
        <f t="shared" si="45"/>
        <v>0</v>
      </c>
      <c r="BA155" s="25" t="b">
        <f t="shared" si="46"/>
        <v>0</v>
      </c>
      <c r="BB155" s="25">
        <f t="shared" si="47"/>
        <v>154</v>
      </c>
      <c r="BC155" s="25" t="b">
        <f t="shared" si="48"/>
        <v>0</v>
      </c>
      <c r="BI155" s="13"/>
      <c r="BJ155" s="15"/>
      <c r="BK155" s="10"/>
      <c r="BL155" s="9"/>
      <c r="BM155" s="10"/>
      <c r="BN155" s="6">
        <f>BN152+BM152</f>
        <v>403</v>
      </c>
      <c r="BO155" s="10"/>
      <c r="BP155" s="10">
        <f>IF(BN155=403,BM140,IF(BN155=404,BN140,IF(BN155=405,BO140,IF(BN155=406,BP140,IF(BN155=407,BQ140,IF(BN155=408,BR140,IF(BN155=409,BS140,IF(BN155=410,BT140))))))))</f>
        <v>1.0866123153535212</v>
      </c>
      <c r="BQ155" s="10" t="b">
        <f>IF(BN155=803,BM144,IF(BN155=804,BN144,IF(BN155=805,BO144,IF(BN155=806,BP144,IF(BN155=807,BQ144,IF(BN155=808,BR144,IF(BN155=809,BS144,IF(BN155=810,BT144))))))))</f>
        <v>0</v>
      </c>
      <c r="BR155" s="10" t="b">
        <f>IF(BN155=1203,BM148,IF(BN155=1204,BN148,IF(BN155=1205,BO148,IF(BN155=1206,BP148,IF(BN155=1207,BQ148,IF(BN155=1208,BR148,IF(BN155=1209,BS148,IF(BN155=1210,BT148))))))))</f>
        <v>0</v>
      </c>
      <c r="BS155" s="7" t="s">
        <v>633</v>
      </c>
      <c r="BT155" s="10"/>
      <c r="CR155" s="44"/>
    </row>
    <row r="156" spans="36:171" ht="16.05" customHeight="1">
      <c r="AK156" s="4">
        <v>155</v>
      </c>
      <c r="AL156" s="4">
        <v>1</v>
      </c>
      <c r="AM156" s="4">
        <v>1</v>
      </c>
      <c r="AN156" s="4">
        <v>2</v>
      </c>
      <c r="AO156" s="197" t="s">
        <v>2257</v>
      </c>
      <c r="AP156" s="198">
        <v>473.9</v>
      </c>
      <c r="AQ156">
        <v>16</v>
      </c>
      <c r="AR156">
        <v>16</v>
      </c>
      <c r="AS156">
        <v>5</v>
      </c>
      <c r="AT156">
        <v>14</v>
      </c>
      <c r="AU156">
        <v>46.26</v>
      </c>
      <c r="AV156">
        <v>120</v>
      </c>
      <c r="AW156">
        <v>21.824999999999999</v>
      </c>
      <c r="AY156" s="38" t="b">
        <f t="shared" si="44"/>
        <v>0</v>
      </c>
      <c r="AZ156" s="25" t="b">
        <f t="shared" si="45"/>
        <v>0</v>
      </c>
      <c r="BA156" s="25">
        <f t="shared" si="46"/>
        <v>155</v>
      </c>
      <c r="BB156" s="25" t="b">
        <f t="shared" si="47"/>
        <v>0</v>
      </c>
      <c r="BC156" s="25" t="b">
        <f t="shared" si="48"/>
        <v>0</v>
      </c>
      <c r="BI156" s="13"/>
      <c r="BJ156" s="15"/>
      <c r="BK156" s="10"/>
      <c r="BL156" s="9"/>
      <c r="BM156" s="10"/>
      <c r="BN156" s="10"/>
      <c r="BO156" s="10"/>
      <c r="BP156" s="10">
        <f>IF(BN155&gt;402,BP155,IF(BN155&gt;304,BP154,IF(BN155&gt;206,BP153,IF(BN155&gt;108,BP152,IF(BN155&gt;0,BP151)))))</f>
        <v>1.0866123153535212</v>
      </c>
      <c r="BQ156" s="10" t="b">
        <f>IF(BN155&gt;802,BQ155,IF(BN155&gt;704,BQ154,IF(BN155&gt;606,BQ153,IF(BN155&gt;508,BQ152,IF(BN155&gt;410,BQ151)))))</f>
        <v>0</v>
      </c>
      <c r="BR156" s="10" t="b">
        <f>IF(BN155&gt;1202,BR155,IF(BN155&gt;1104,BR154,IF(BN155&gt;1006,BR153,IF(BN155&gt;908,BR152,IF(BN155&gt;810,BR151)))))</f>
        <v>0</v>
      </c>
      <c r="BS156" s="31">
        <f>IF(BN155&gt;810,BR156,IF(BN155&gt;410,BQ156,IF(BN155&gt;0,BP156)))</f>
        <v>1.0866123153535212</v>
      </c>
      <c r="BT156" s="32" t="s">
        <v>671</v>
      </c>
      <c r="BX156"/>
      <c r="CR156" s="44"/>
    </row>
    <row r="157" spans="36:171" ht="16.05" customHeight="1">
      <c r="AK157" s="4">
        <v>156</v>
      </c>
      <c r="AL157" s="4">
        <v>1</v>
      </c>
      <c r="AM157" s="4">
        <v>1</v>
      </c>
      <c r="AN157" s="4">
        <v>2</v>
      </c>
      <c r="AO157" s="197" t="s">
        <v>2258</v>
      </c>
      <c r="AP157" s="198">
        <v>430.7</v>
      </c>
      <c r="AQ157">
        <v>16</v>
      </c>
      <c r="AR157">
        <v>16</v>
      </c>
      <c r="AS157">
        <v>5</v>
      </c>
      <c r="AT157">
        <v>12</v>
      </c>
      <c r="AU157">
        <v>43.39</v>
      </c>
      <c r="AV157">
        <v>100</v>
      </c>
      <c r="AW157">
        <v>25</v>
      </c>
      <c r="AY157" s="38" t="b">
        <f t="shared" si="44"/>
        <v>0</v>
      </c>
      <c r="AZ157" s="25" t="b">
        <f t="shared" si="45"/>
        <v>0</v>
      </c>
      <c r="BA157" s="25">
        <f t="shared" si="46"/>
        <v>156</v>
      </c>
      <c r="BB157" s="25" t="b">
        <f t="shared" si="47"/>
        <v>0</v>
      </c>
      <c r="BC157" s="25" t="b">
        <f t="shared" si="48"/>
        <v>0</v>
      </c>
      <c r="BS157" s="28">
        <f>BS156*0.67</f>
        <v>0.72803025128685928</v>
      </c>
      <c r="BT157" s="4" t="s">
        <v>672</v>
      </c>
      <c r="BW157" s="39" t="s">
        <v>538</v>
      </c>
      <c r="BX157" s="40">
        <f>ROUND((C10-BM113)/4,3)</f>
        <v>1</v>
      </c>
      <c r="CR157" s="44"/>
    </row>
    <row r="158" spans="36:171" ht="16.05" customHeight="1">
      <c r="AK158" s="4">
        <v>157</v>
      </c>
      <c r="AL158" s="4">
        <v>1</v>
      </c>
      <c r="AM158" s="4">
        <v>1</v>
      </c>
      <c r="AN158" s="4">
        <v>1</v>
      </c>
      <c r="AO158" s="197" t="s">
        <v>2259</v>
      </c>
      <c r="AP158" s="198">
        <v>430.7</v>
      </c>
      <c r="AQ158">
        <v>16</v>
      </c>
      <c r="AR158">
        <v>16</v>
      </c>
      <c r="AS158">
        <v>5</v>
      </c>
      <c r="AT158">
        <v>2</v>
      </c>
      <c r="AU158">
        <v>39</v>
      </c>
      <c r="AV158">
        <v>100</v>
      </c>
      <c r="AW158">
        <v>19.600000000000001</v>
      </c>
      <c r="AY158" s="38">
        <f t="shared" si="44"/>
        <v>157</v>
      </c>
      <c r="AZ158" s="25">
        <f t="shared" si="45"/>
        <v>157</v>
      </c>
      <c r="BA158" s="25">
        <f t="shared" si="46"/>
        <v>157</v>
      </c>
      <c r="BB158" s="25">
        <f t="shared" si="47"/>
        <v>157</v>
      </c>
      <c r="BC158" s="25">
        <f t="shared" si="48"/>
        <v>157</v>
      </c>
      <c r="BS158" s="28">
        <f>IF(BT110=5,BS157,IF(BT110=6,BS157,IF(BT110=7,BS157,BS156)))</f>
        <v>1.0866123153535212</v>
      </c>
      <c r="BX158"/>
      <c r="CR158" s="44"/>
    </row>
    <row r="159" spans="36:171" ht="16.05" customHeight="1">
      <c r="AK159" s="4">
        <v>158</v>
      </c>
      <c r="AL159" s="4">
        <v>1</v>
      </c>
      <c r="AM159" s="4">
        <v>1</v>
      </c>
      <c r="AN159" s="4">
        <v>2</v>
      </c>
      <c r="AO159" s="197" t="s">
        <v>2260</v>
      </c>
      <c r="AP159" s="198">
        <v>430.7</v>
      </c>
      <c r="AQ159">
        <v>16</v>
      </c>
      <c r="AR159">
        <v>16</v>
      </c>
      <c r="AS159">
        <v>5</v>
      </c>
      <c r="AT159">
        <v>16</v>
      </c>
      <c r="AU159">
        <v>35.72</v>
      </c>
      <c r="AV159">
        <v>100</v>
      </c>
      <c r="AW159">
        <v>19</v>
      </c>
      <c r="AY159" s="38">
        <f t="shared" si="44"/>
        <v>158</v>
      </c>
      <c r="AZ159" s="25" t="b">
        <f t="shared" si="45"/>
        <v>0</v>
      </c>
      <c r="BA159" s="25">
        <f t="shared" si="46"/>
        <v>158</v>
      </c>
      <c r="BB159" s="25" t="b">
        <f t="shared" si="47"/>
        <v>0</v>
      </c>
      <c r="BC159" s="25" t="b">
        <f t="shared" si="48"/>
        <v>0</v>
      </c>
      <c r="BX159"/>
      <c r="CR159" s="44"/>
    </row>
    <row r="160" spans="36:171" ht="16.05" customHeight="1">
      <c r="AK160" s="4">
        <v>159</v>
      </c>
      <c r="AL160" s="4">
        <v>1</v>
      </c>
      <c r="AM160" s="4">
        <v>1</v>
      </c>
      <c r="AN160" s="4">
        <v>2</v>
      </c>
      <c r="AO160" s="197" t="s">
        <v>2261</v>
      </c>
      <c r="AP160" s="198">
        <v>430.7</v>
      </c>
      <c r="AQ160">
        <v>16</v>
      </c>
      <c r="AR160">
        <v>16</v>
      </c>
      <c r="AS160">
        <v>5</v>
      </c>
      <c r="AT160">
        <v>14</v>
      </c>
      <c r="AU160">
        <v>35.380000000000003</v>
      </c>
      <c r="AV160">
        <v>100</v>
      </c>
      <c r="AW160">
        <v>21.824999999999999</v>
      </c>
      <c r="AY160" s="38" t="b">
        <f t="shared" si="44"/>
        <v>0</v>
      </c>
      <c r="AZ160" s="25" t="b">
        <f t="shared" si="45"/>
        <v>0</v>
      </c>
      <c r="BA160" s="25">
        <f t="shared" si="46"/>
        <v>159</v>
      </c>
      <c r="BB160" s="25" t="b">
        <f t="shared" si="47"/>
        <v>0</v>
      </c>
      <c r="BC160" s="25" t="b">
        <f t="shared" si="48"/>
        <v>0</v>
      </c>
      <c r="BW160" s="33"/>
      <c r="BX160" s="33"/>
      <c r="BY160" s="33"/>
      <c r="BZ160" s="33"/>
      <c r="CA160" s="33"/>
      <c r="CR160" s="44"/>
    </row>
    <row r="161" spans="36:171" ht="16.05" customHeight="1">
      <c r="AJ161" t="s">
        <v>1816</v>
      </c>
      <c r="AK161" s="4">
        <v>160</v>
      </c>
      <c r="AL161" s="4">
        <v>1</v>
      </c>
      <c r="AM161" s="4">
        <v>1</v>
      </c>
      <c r="AN161" s="4">
        <v>1</v>
      </c>
      <c r="AO161" s="197" t="s">
        <v>2262</v>
      </c>
      <c r="AP161" s="198">
        <v>391.7</v>
      </c>
      <c r="AQ161">
        <v>16</v>
      </c>
      <c r="AR161">
        <v>16</v>
      </c>
      <c r="AS161">
        <v>5</v>
      </c>
      <c r="AT161">
        <v>2</v>
      </c>
      <c r="AU161">
        <v>29</v>
      </c>
      <c r="AV161">
        <v>89</v>
      </c>
      <c r="AW161">
        <v>19.600000000000001</v>
      </c>
      <c r="AY161" s="38">
        <f t="shared" si="44"/>
        <v>160</v>
      </c>
      <c r="AZ161" s="25">
        <f t="shared" si="45"/>
        <v>160</v>
      </c>
      <c r="BA161" s="25">
        <f t="shared" si="46"/>
        <v>160</v>
      </c>
      <c r="BB161" s="25">
        <f t="shared" si="47"/>
        <v>160</v>
      </c>
      <c r="BC161" s="25">
        <f t="shared" si="48"/>
        <v>160</v>
      </c>
      <c r="BW161" s="7" t="s">
        <v>631</v>
      </c>
      <c r="BX161" s="7" t="s">
        <v>805</v>
      </c>
      <c r="BY161" s="7" t="s">
        <v>538</v>
      </c>
      <c r="BZ161" s="7" t="s">
        <v>883</v>
      </c>
      <c r="CA161" s="7" t="s">
        <v>884</v>
      </c>
      <c r="CR161" s="44"/>
    </row>
    <row r="162" spans="36:171" ht="16.05" customHeight="1">
      <c r="AK162" s="4">
        <v>161</v>
      </c>
      <c r="AL162" s="4">
        <v>1</v>
      </c>
      <c r="AM162" s="4">
        <v>1</v>
      </c>
      <c r="AN162" s="4">
        <v>2</v>
      </c>
      <c r="AO162" s="197" t="s">
        <v>2263</v>
      </c>
      <c r="AP162" s="198">
        <v>430.7</v>
      </c>
      <c r="AQ162">
        <v>16</v>
      </c>
      <c r="AR162">
        <v>16</v>
      </c>
      <c r="AS162">
        <v>3</v>
      </c>
      <c r="AT162">
        <v>8</v>
      </c>
      <c r="AU162">
        <v>55.56</v>
      </c>
      <c r="AV162">
        <v>120</v>
      </c>
      <c r="AW162">
        <v>25</v>
      </c>
      <c r="AY162" s="38" t="b">
        <f t="shared" si="44"/>
        <v>0</v>
      </c>
      <c r="AZ162" s="25" t="b">
        <f t="shared" si="45"/>
        <v>0</v>
      </c>
      <c r="BA162" s="25">
        <f t="shared" si="46"/>
        <v>161</v>
      </c>
      <c r="BB162" s="25" t="b">
        <f t="shared" si="47"/>
        <v>0</v>
      </c>
      <c r="BC162" s="25" t="b">
        <f t="shared" si="48"/>
        <v>0</v>
      </c>
      <c r="BR162" s="7" t="s">
        <v>862</v>
      </c>
      <c r="BS162" s="27">
        <f>IF(H22&gt;0,H22,G22)</f>
        <v>39</v>
      </c>
      <c r="BW162" s="25">
        <v>1</v>
      </c>
      <c r="BX162" s="25">
        <f>ROUND(C10-(2*0.33*BK151),2)</f>
        <v>19.29</v>
      </c>
      <c r="BY162" s="40">
        <f>ROUND((BX162-BM$113)/4,3)</f>
        <v>0.82299999999999995</v>
      </c>
      <c r="BZ162" s="25">
        <f>ROUND(G$29*(BX162-BM$113)/BX162,0)</f>
        <v>87</v>
      </c>
      <c r="CA162" s="29">
        <f>278*BX162/G$29</f>
        <v>10.494363992172211</v>
      </c>
      <c r="CR162" s="44"/>
    </row>
    <row r="163" spans="36:171" ht="16.05" customHeight="1">
      <c r="AK163" s="4">
        <v>162</v>
      </c>
      <c r="AL163" s="4">
        <v>1</v>
      </c>
      <c r="AM163" s="4">
        <v>1</v>
      </c>
      <c r="AN163" s="4">
        <v>1</v>
      </c>
      <c r="AO163" s="197" t="s">
        <v>2264</v>
      </c>
      <c r="AP163" s="198">
        <v>430.7</v>
      </c>
      <c r="AQ163">
        <v>16</v>
      </c>
      <c r="AR163">
        <v>16</v>
      </c>
      <c r="AS163">
        <v>3</v>
      </c>
      <c r="AT163">
        <v>3</v>
      </c>
      <c r="AU163">
        <v>52.5</v>
      </c>
      <c r="AV163">
        <v>120</v>
      </c>
      <c r="AW163">
        <v>23.6</v>
      </c>
      <c r="AY163" s="38" t="b">
        <f t="shared" si="44"/>
        <v>0</v>
      </c>
      <c r="AZ163" s="25" t="b">
        <f t="shared" si="45"/>
        <v>0</v>
      </c>
      <c r="BA163" s="25">
        <f t="shared" si="46"/>
        <v>162</v>
      </c>
      <c r="BB163" s="25">
        <f t="shared" si="47"/>
        <v>162</v>
      </c>
      <c r="BC163" s="25" t="b">
        <f t="shared" si="48"/>
        <v>0</v>
      </c>
      <c r="BR163" s="7" t="s">
        <v>632</v>
      </c>
      <c r="BS163" s="28">
        <f>BS162/C12</f>
        <v>1.56</v>
      </c>
      <c r="BW163" s="25">
        <v>2</v>
      </c>
      <c r="BX163" s="25">
        <f>C10</f>
        <v>20</v>
      </c>
      <c r="BY163" s="40">
        <f>ROUND((BX163-BM$113)/4,3)</f>
        <v>1</v>
      </c>
      <c r="BZ163" s="25">
        <f>ROUND(G$29*(BX163-BM$113)/BX163,0)</f>
        <v>102</v>
      </c>
      <c r="CA163" s="29">
        <f>278*BX163/G$29</f>
        <v>10.880626223091976</v>
      </c>
      <c r="CR163" s="44"/>
    </row>
    <row r="164" spans="36:171" ht="16.05" customHeight="1">
      <c r="AK164" s="4">
        <v>163</v>
      </c>
      <c r="AL164" s="4">
        <v>1</v>
      </c>
      <c r="AM164" s="4">
        <v>1</v>
      </c>
      <c r="AN164" s="4">
        <v>2</v>
      </c>
      <c r="AO164" s="197" t="s">
        <v>2265</v>
      </c>
      <c r="AP164" s="198">
        <v>430.7</v>
      </c>
      <c r="AQ164">
        <v>16</v>
      </c>
      <c r="AR164">
        <v>16</v>
      </c>
      <c r="AS164">
        <v>3</v>
      </c>
      <c r="AT164">
        <v>9</v>
      </c>
      <c r="AU164">
        <v>49.39</v>
      </c>
      <c r="AV164">
        <v>120</v>
      </c>
      <c r="AW164">
        <v>21.824999999999999</v>
      </c>
      <c r="AY164" s="38" t="b">
        <f t="shared" si="44"/>
        <v>0</v>
      </c>
      <c r="AZ164" s="25" t="b">
        <f t="shared" si="45"/>
        <v>0</v>
      </c>
      <c r="BA164" s="25">
        <f t="shared" si="46"/>
        <v>163</v>
      </c>
      <c r="BB164" s="25" t="b">
        <f t="shared" si="47"/>
        <v>0</v>
      </c>
      <c r="BC164" s="25" t="b">
        <f t="shared" si="48"/>
        <v>0</v>
      </c>
      <c r="BR164" s="7" t="s">
        <v>841</v>
      </c>
      <c r="BS164" s="28">
        <f>LOOKUP(BS163,BR167:BR199,BS167:BS199)</f>
        <v>0.94089999999999996</v>
      </c>
      <c r="BW164" s="25"/>
      <c r="BY164" s="25"/>
      <c r="BZ164" s="25"/>
      <c r="CA164" s="42">
        <f>ROUND(CA162+CA163,0)</f>
        <v>21</v>
      </c>
      <c r="CR164" s="44"/>
    </row>
    <row r="165" spans="36:171" ht="16.05" customHeight="1">
      <c r="AK165" s="4">
        <v>164</v>
      </c>
      <c r="AL165" s="4">
        <v>1</v>
      </c>
      <c r="AM165" s="4">
        <v>1</v>
      </c>
      <c r="AN165" s="4">
        <v>2</v>
      </c>
      <c r="AO165" s="197" t="s">
        <v>2266</v>
      </c>
      <c r="AP165" s="198">
        <v>391.7</v>
      </c>
      <c r="AQ165">
        <v>16</v>
      </c>
      <c r="AR165">
        <v>16</v>
      </c>
      <c r="AS165">
        <v>3</v>
      </c>
      <c r="AT165">
        <v>8</v>
      </c>
      <c r="AU165">
        <v>42.86</v>
      </c>
      <c r="AV165">
        <v>100</v>
      </c>
      <c r="AW165">
        <v>25</v>
      </c>
      <c r="AY165" s="38" t="b">
        <f t="shared" si="44"/>
        <v>0</v>
      </c>
      <c r="AZ165" s="25" t="b">
        <f t="shared" si="45"/>
        <v>0</v>
      </c>
      <c r="BA165" s="25">
        <f t="shared" si="46"/>
        <v>164</v>
      </c>
      <c r="BB165" s="25" t="b">
        <f t="shared" si="47"/>
        <v>0</v>
      </c>
      <c r="BC165" s="25" t="b">
        <f t="shared" si="48"/>
        <v>0</v>
      </c>
      <c r="BR165" s="7" t="s">
        <v>881</v>
      </c>
      <c r="BS165" s="30">
        <f>BS158*BS164</f>
        <v>1.022393527516128</v>
      </c>
      <c r="BW165" s="33"/>
      <c r="BX165" s="33"/>
      <c r="BY165" s="33"/>
      <c r="BZ165" s="33"/>
      <c r="CA165" s="33"/>
      <c r="CR165" s="44"/>
    </row>
    <row r="166" spans="36:171" ht="16.05" customHeight="1">
      <c r="AK166" s="4">
        <v>165</v>
      </c>
      <c r="AL166" s="4">
        <v>1</v>
      </c>
      <c r="AM166" s="4">
        <v>1</v>
      </c>
      <c r="AN166" s="4">
        <v>1</v>
      </c>
      <c r="AO166" s="197" t="s">
        <v>2267</v>
      </c>
      <c r="AP166" s="198">
        <v>391.7</v>
      </c>
      <c r="AQ166">
        <v>16</v>
      </c>
      <c r="AR166">
        <v>16</v>
      </c>
      <c r="AS166">
        <v>3</v>
      </c>
      <c r="AT166">
        <v>3</v>
      </c>
      <c r="AU166">
        <v>40.5</v>
      </c>
      <c r="AV166">
        <v>100</v>
      </c>
      <c r="AW166">
        <v>23.6</v>
      </c>
      <c r="AY166" s="38" t="b">
        <f t="shared" si="44"/>
        <v>0</v>
      </c>
      <c r="AZ166" s="25" t="b">
        <f t="shared" si="45"/>
        <v>0</v>
      </c>
      <c r="BA166" s="25">
        <f t="shared" si="46"/>
        <v>165</v>
      </c>
      <c r="BB166" s="25">
        <f t="shared" si="47"/>
        <v>165</v>
      </c>
      <c r="BC166" s="25" t="b">
        <f t="shared" si="48"/>
        <v>0</v>
      </c>
      <c r="BX166"/>
      <c r="CR166" s="44"/>
    </row>
    <row r="167" spans="36:171" ht="16.05" customHeight="1">
      <c r="AK167" s="4">
        <v>166</v>
      </c>
      <c r="AL167" s="4">
        <v>1</v>
      </c>
      <c r="AM167" s="4">
        <v>1</v>
      </c>
      <c r="AN167" s="4">
        <v>2</v>
      </c>
      <c r="AO167" s="197" t="s">
        <v>2268</v>
      </c>
      <c r="AP167" s="198">
        <v>391.7</v>
      </c>
      <c r="AQ167">
        <v>16</v>
      </c>
      <c r="AR167">
        <v>16</v>
      </c>
      <c r="AS167">
        <v>3</v>
      </c>
      <c r="AT167">
        <v>9</v>
      </c>
      <c r="AU167">
        <v>38.1</v>
      </c>
      <c r="AV167">
        <v>100</v>
      </c>
      <c r="AW167">
        <v>21.824999999999999</v>
      </c>
      <c r="AY167" s="38" t="b">
        <f t="shared" si="44"/>
        <v>0</v>
      </c>
      <c r="AZ167" s="25" t="b">
        <f t="shared" si="45"/>
        <v>0</v>
      </c>
      <c r="BA167" s="25">
        <f t="shared" si="46"/>
        <v>166</v>
      </c>
      <c r="BB167" s="25" t="b">
        <f t="shared" si="47"/>
        <v>0</v>
      </c>
      <c r="BC167" s="25" t="b">
        <f t="shared" si="48"/>
        <v>0</v>
      </c>
      <c r="BR167" s="28">
        <v>0.03</v>
      </c>
      <c r="BS167" s="28">
        <v>0.5</v>
      </c>
      <c r="BW167" s="7" t="s">
        <v>631</v>
      </c>
      <c r="BX167" s="7" t="s">
        <v>805</v>
      </c>
      <c r="BY167" s="7" t="s">
        <v>538</v>
      </c>
      <c r="BZ167" s="7" t="s">
        <v>883</v>
      </c>
      <c r="CA167" s="7" t="s">
        <v>884</v>
      </c>
      <c r="CR167" s="44"/>
    </row>
    <row r="168" spans="36:171" ht="16.05" customHeight="1">
      <c r="AK168" s="4">
        <v>167</v>
      </c>
      <c r="AL168" s="4">
        <v>1</v>
      </c>
      <c r="AM168" s="4">
        <v>1</v>
      </c>
      <c r="AN168" s="4">
        <v>1</v>
      </c>
      <c r="AO168" s="197" t="s">
        <v>2269</v>
      </c>
      <c r="AP168" s="198">
        <v>430.7</v>
      </c>
      <c r="AQ168">
        <v>16</v>
      </c>
      <c r="AR168">
        <v>15</v>
      </c>
      <c r="AS168">
        <v>4</v>
      </c>
      <c r="AT168">
        <v>2.5</v>
      </c>
      <c r="AU168">
        <v>53.75</v>
      </c>
      <c r="AV168">
        <v>120</v>
      </c>
      <c r="AW168">
        <v>19.600000000000001</v>
      </c>
      <c r="AY168" s="38">
        <f t="shared" si="44"/>
        <v>167</v>
      </c>
      <c r="AZ168" s="25" t="b">
        <f t="shared" si="45"/>
        <v>0</v>
      </c>
      <c r="BA168" s="25">
        <f t="shared" si="46"/>
        <v>167</v>
      </c>
      <c r="BB168" s="25">
        <f t="shared" si="47"/>
        <v>167</v>
      </c>
      <c r="BC168" s="25" t="b">
        <f t="shared" si="48"/>
        <v>0</v>
      </c>
      <c r="BR168" s="28">
        <v>0.25</v>
      </c>
      <c r="BS168" s="28">
        <f t="shared" ref="BS168:BS182" si="65">BS169*0.97</f>
        <v>0.63325118913678924</v>
      </c>
      <c r="BW168" s="25">
        <v>1</v>
      </c>
      <c r="BX168" s="25">
        <f>ROUND(C10-(2*0.5*BK151),2)</f>
        <v>18.920000000000002</v>
      </c>
      <c r="BY168" s="40">
        <f>ROUND((BX168-BM$113)/4,3)</f>
        <v>0.73</v>
      </c>
      <c r="BZ168" s="25">
        <f>ROUND(G$29*(BX168-BM$113)/BX168,0)</f>
        <v>79</v>
      </c>
      <c r="CA168" s="29">
        <f>278*BX168/G$29</f>
        <v>10.29307240704501</v>
      </c>
      <c r="CR168" s="44"/>
    </row>
    <row r="169" spans="36:171" ht="16.05" customHeight="1">
      <c r="AK169" s="4">
        <v>168</v>
      </c>
      <c r="AL169" s="4">
        <v>1</v>
      </c>
      <c r="AM169" s="4">
        <v>1</v>
      </c>
      <c r="AN169" s="4">
        <v>1</v>
      </c>
      <c r="AO169" s="197" t="s">
        <v>2270</v>
      </c>
      <c r="AP169" s="198">
        <v>473.8</v>
      </c>
      <c r="AQ169">
        <v>16</v>
      </c>
      <c r="AR169">
        <v>15</v>
      </c>
      <c r="AS169">
        <v>3</v>
      </c>
      <c r="AT169">
        <v>2.5</v>
      </c>
      <c r="AU169">
        <v>63.75</v>
      </c>
      <c r="AV169">
        <v>120</v>
      </c>
      <c r="AW169">
        <v>19.600000000000001</v>
      </c>
      <c r="AY169" s="38">
        <f t="shared" si="44"/>
        <v>168</v>
      </c>
      <c r="AZ169" s="25" t="b">
        <f t="shared" si="45"/>
        <v>0</v>
      </c>
      <c r="BA169" s="25">
        <f t="shared" si="46"/>
        <v>168</v>
      </c>
      <c r="BB169" s="25">
        <f t="shared" si="47"/>
        <v>168</v>
      </c>
      <c r="BC169" s="25" t="b">
        <f t="shared" si="48"/>
        <v>0</v>
      </c>
      <c r="BR169" s="28">
        <v>0.26</v>
      </c>
      <c r="BS169" s="28">
        <f t="shared" si="65"/>
        <v>0.65283627746060746</v>
      </c>
      <c r="BW169" s="25">
        <v>2</v>
      </c>
      <c r="BX169" s="25">
        <f>ROUND(C10-(2*0.2*BK151),2)</f>
        <v>19.57</v>
      </c>
      <c r="BY169" s="40">
        <f>ROUND((BX169-BM$113)/4,3)</f>
        <v>0.89300000000000002</v>
      </c>
      <c r="BZ169" s="25">
        <f>ROUND(G$29*(BX169-BM$113)/BX169,0)</f>
        <v>93</v>
      </c>
      <c r="CA169" s="29">
        <f>278*BX169/G$29</f>
        <v>10.646692759295499</v>
      </c>
      <c r="CR169" s="44"/>
    </row>
    <row r="170" spans="36:171" ht="16.05" customHeight="1">
      <c r="AK170" s="4">
        <v>169</v>
      </c>
      <c r="AL170" s="4">
        <v>1</v>
      </c>
      <c r="AM170" s="4">
        <v>1</v>
      </c>
      <c r="AN170" s="4">
        <v>1</v>
      </c>
      <c r="AO170" s="197" t="s">
        <v>2271</v>
      </c>
      <c r="AP170" s="198">
        <v>372.1</v>
      </c>
      <c r="AQ170">
        <v>14</v>
      </c>
      <c r="AR170">
        <v>14</v>
      </c>
      <c r="AS170">
        <v>4</v>
      </c>
      <c r="AT170">
        <v>2.5</v>
      </c>
      <c r="AU170">
        <v>43.75</v>
      </c>
      <c r="AV170">
        <v>100</v>
      </c>
      <c r="AW170">
        <v>19.600000000000001</v>
      </c>
      <c r="AY170" s="38">
        <f t="shared" si="44"/>
        <v>169</v>
      </c>
      <c r="AZ170" s="25" t="b">
        <f t="shared" si="45"/>
        <v>0</v>
      </c>
      <c r="BA170" s="25">
        <f t="shared" si="46"/>
        <v>169</v>
      </c>
      <c r="BB170" s="25">
        <f t="shared" si="47"/>
        <v>169</v>
      </c>
      <c r="BC170" s="25" t="b">
        <f t="shared" si="48"/>
        <v>0</v>
      </c>
      <c r="BR170" s="28">
        <v>0.28000000000000003</v>
      </c>
      <c r="BS170" s="28">
        <f t="shared" si="65"/>
        <v>0.67302709016557472</v>
      </c>
      <c r="BW170" s="25">
        <v>3</v>
      </c>
      <c r="BX170" s="25">
        <f>C10</f>
        <v>20</v>
      </c>
      <c r="BY170" s="40">
        <f>ROUND((BX170-BM$113)/4,3)</f>
        <v>1</v>
      </c>
      <c r="BZ170" s="25">
        <f>ROUND(G$29*(BX170-BM$113)/BX170,0)</f>
        <v>102</v>
      </c>
      <c r="CA170" s="29">
        <f>278*BX170/G$29</f>
        <v>10.880626223091976</v>
      </c>
      <c r="CR170" s="44"/>
      <c r="FO170" s="41" t="s">
        <v>27</v>
      </c>
    </row>
    <row r="171" spans="36:171" ht="16.05" customHeight="1">
      <c r="AK171" s="4">
        <v>170</v>
      </c>
      <c r="AL171" s="4">
        <v>1</v>
      </c>
      <c r="AM171" s="4">
        <v>1</v>
      </c>
      <c r="AN171" s="4">
        <v>1</v>
      </c>
      <c r="AO171" s="197" t="s">
        <v>2272</v>
      </c>
      <c r="AP171" s="198">
        <v>338.4</v>
      </c>
      <c r="AQ171">
        <v>14</v>
      </c>
      <c r="AR171">
        <v>14</v>
      </c>
      <c r="AS171">
        <v>4</v>
      </c>
      <c r="AT171">
        <v>2.5</v>
      </c>
      <c r="AU171">
        <v>33.75</v>
      </c>
      <c r="AV171">
        <v>89</v>
      </c>
      <c r="AW171">
        <v>19.600000000000001</v>
      </c>
      <c r="AY171" s="38">
        <f t="shared" si="44"/>
        <v>170</v>
      </c>
      <c r="AZ171" s="25" t="b">
        <f t="shared" si="45"/>
        <v>0</v>
      </c>
      <c r="BA171" s="25">
        <f t="shared" si="46"/>
        <v>170</v>
      </c>
      <c r="BB171" s="25">
        <f t="shared" si="47"/>
        <v>170</v>
      </c>
      <c r="BC171" s="25" t="b">
        <f t="shared" si="48"/>
        <v>0</v>
      </c>
      <c r="BR171" s="28">
        <v>0.28999999999999998</v>
      </c>
      <c r="BS171" s="28">
        <f t="shared" si="65"/>
        <v>0.69384236099543783</v>
      </c>
      <c r="BW171" s="25"/>
      <c r="BY171" s="25"/>
      <c r="BZ171" s="25"/>
      <c r="CA171" s="42">
        <f>ROUND(CA168+CA169+CA170,0)</f>
        <v>32</v>
      </c>
      <c r="CR171" s="44"/>
    </row>
    <row r="172" spans="36:171" ht="16.05" customHeight="1">
      <c r="AK172" s="4">
        <v>171</v>
      </c>
      <c r="AL172" s="4">
        <v>1</v>
      </c>
      <c r="AM172" s="4">
        <v>1</v>
      </c>
      <c r="AN172" s="4">
        <v>1</v>
      </c>
      <c r="AO172" s="197" t="s">
        <v>2273</v>
      </c>
      <c r="AP172" s="198">
        <v>299.60000000000002</v>
      </c>
      <c r="AQ172">
        <v>12</v>
      </c>
      <c r="AR172">
        <v>12</v>
      </c>
      <c r="AS172">
        <v>6</v>
      </c>
      <c r="AT172">
        <v>1</v>
      </c>
      <c r="AU172">
        <v>21.5</v>
      </c>
      <c r="AV172">
        <v>83</v>
      </c>
      <c r="AW172">
        <v>13.6</v>
      </c>
      <c r="AY172" s="38">
        <f t="shared" si="44"/>
        <v>171</v>
      </c>
      <c r="AZ172" s="25" t="b">
        <f t="shared" si="45"/>
        <v>0</v>
      </c>
      <c r="BA172" s="25" t="b">
        <f t="shared" si="46"/>
        <v>0</v>
      </c>
      <c r="BB172" s="25">
        <f t="shared" si="47"/>
        <v>171</v>
      </c>
      <c r="BC172" s="25" t="b">
        <f t="shared" si="48"/>
        <v>0</v>
      </c>
      <c r="BR172" s="28">
        <v>0.31</v>
      </c>
      <c r="BS172" s="28">
        <f t="shared" si="65"/>
        <v>0.71530140308808021</v>
      </c>
      <c r="BX172"/>
      <c r="CR172" s="44"/>
    </row>
    <row r="173" spans="36:171" ht="16.05" customHeight="1">
      <c r="AJ173" t="s">
        <v>1816</v>
      </c>
      <c r="AK173" s="4">
        <v>172</v>
      </c>
      <c r="AL173" s="4">
        <v>1</v>
      </c>
      <c r="AM173" s="4">
        <v>1</v>
      </c>
      <c r="AN173" s="4">
        <v>1</v>
      </c>
      <c r="AO173" s="197" t="s">
        <v>2274</v>
      </c>
      <c r="AP173" s="198">
        <v>272.2</v>
      </c>
      <c r="AQ173">
        <v>12</v>
      </c>
      <c r="AR173">
        <v>12</v>
      </c>
      <c r="AS173">
        <v>6</v>
      </c>
      <c r="AT173">
        <v>1</v>
      </c>
      <c r="AU173">
        <v>15.5</v>
      </c>
      <c r="AV173">
        <v>83</v>
      </c>
      <c r="AW173">
        <v>13.6</v>
      </c>
      <c r="AY173" s="38">
        <f t="shared" si="44"/>
        <v>172</v>
      </c>
      <c r="AZ173" s="25" t="b">
        <f t="shared" si="45"/>
        <v>0</v>
      </c>
      <c r="BA173" s="25" t="b">
        <f t="shared" si="46"/>
        <v>0</v>
      </c>
      <c r="BB173" s="25">
        <f t="shared" si="47"/>
        <v>172</v>
      </c>
      <c r="BC173" s="25" t="b">
        <f t="shared" si="48"/>
        <v>0</v>
      </c>
      <c r="BR173" s="28">
        <v>0.33</v>
      </c>
      <c r="BS173" s="28">
        <f t="shared" si="65"/>
        <v>0.73742412689492809</v>
      </c>
      <c r="BX173"/>
      <c r="CR173" s="44"/>
    </row>
    <row r="174" spans="36:171" ht="16.05" customHeight="1">
      <c r="AK174" s="4">
        <v>173</v>
      </c>
      <c r="AL174" s="4">
        <v>1</v>
      </c>
      <c r="AM174" s="4">
        <v>1</v>
      </c>
      <c r="AN174" s="4">
        <v>2</v>
      </c>
      <c r="AO174" s="197" t="s">
        <v>2275</v>
      </c>
      <c r="AP174" s="198">
        <v>299.60000000000002</v>
      </c>
      <c r="AQ174">
        <v>12</v>
      </c>
      <c r="AR174">
        <v>12</v>
      </c>
      <c r="AS174">
        <v>5</v>
      </c>
      <c r="AT174">
        <v>20</v>
      </c>
      <c r="AU174">
        <v>28.57</v>
      </c>
      <c r="AV174">
        <v>83</v>
      </c>
      <c r="AW174">
        <v>14.4</v>
      </c>
      <c r="AY174" s="38">
        <f t="shared" si="44"/>
        <v>173</v>
      </c>
      <c r="AZ174" s="25" t="b">
        <f t="shared" si="45"/>
        <v>0</v>
      </c>
      <c r="BA174" s="25">
        <f t="shared" si="46"/>
        <v>173</v>
      </c>
      <c r="BB174" s="25" t="b">
        <f t="shared" si="47"/>
        <v>0</v>
      </c>
      <c r="BC174" s="25" t="b">
        <f t="shared" si="48"/>
        <v>0</v>
      </c>
      <c r="BR174" s="28">
        <v>0.36</v>
      </c>
      <c r="BS174" s="28">
        <f t="shared" si="65"/>
        <v>0.76023105865456508</v>
      </c>
      <c r="BX174"/>
      <c r="CR174" s="44"/>
    </row>
    <row r="175" spans="36:171" ht="16.05" customHeight="1">
      <c r="AK175" s="4">
        <v>174</v>
      </c>
      <c r="AL175" s="4">
        <v>1</v>
      </c>
      <c r="AM175" s="4">
        <v>1</v>
      </c>
      <c r="AN175" s="4">
        <v>1</v>
      </c>
      <c r="AO175" s="197" t="s">
        <v>2276</v>
      </c>
      <c r="AP175" s="198">
        <v>329.3</v>
      </c>
      <c r="AQ175">
        <v>12</v>
      </c>
      <c r="AR175">
        <v>12</v>
      </c>
      <c r="AS175">
        <v>4</v>
      </c>
      <c r="AT175">
        <v>2</v>
      </c>
      <c r="AU175">
        <v>43</v>
      </c>
      <c r="AV175">
        <v>100</v>
      </c>
      <c r="AW175">
        <v>15.6</v>
      </c>
      <c r="AY175" s="38">
        <f t="shared" si="44"/>
        <v>174</v>
      </c>
      <c r="AZ175" s="25">
        <f t="shared" si="45"/>
        <v>174</v>
      </c>
      <c r="BA175" s="25">
        <f t="shared" si="46"/>
        <v>174</v>
      </c>
      <c r="BB175" s="25">
        <f t="shared" si="47"/>
        <v>174</v>
      </c>
      <c r="BC175" s="25">
        <f t="shared" si="48"/>
        <v>174</v>
      </c>
      <c r="BR175" s="28">
        <v>0.38</v>
      </c>
      <c r="BS175" s="28">
        <f t="shared" si="65"/>
        <v>0.78374335943769602</v>
      </c>
      <c r="BX175"/>
      <c r="CR175" s="44"/>
      <c r="FN175" s="118">
        <v>35</v>
      </c>
      <c r="FO175" s="121" t="s">
        <v>26</v>
      </c>
    </row>
    <row r="176" spans="36:171" ht="16.05" customHeight="1">
      <c r="AK176" s="4">
        <v>175</v>
      </c>
      <c r="AL176" s="4">
        <v>1</v>
      </c>
      <c r="AM176" s="4">
        <v>1</v>
      </c>
      <c r="AN176" s="4">
        <v>2</v>
      </c>
      <c r="AO176" s="197" t="s">
        <v>2277</v>
      </c>
      <c r="AP176" s="198">
        <v>329.3</v>
      </c>
      <c r="AQ176">
        <v>12</v>
      </c>
      <c r="AR176">
        <v>12</v>
      </c>
      <c r="AS176">
        <v>4</v>
      </c>
      <c r="AT176">
        <v>16</v>
      </c>
      <c r="AU176">
        <v>40.479999999999997</v>
      </c>
      <c r="AV176">
        <v>100</v>
      </c>
      <c r="AW176">
        <v>18.649999999999999</v>
      </c>
      <c r="AY176" s="38">
        <f t="shared" si="44"/>
        <v>175</v>
      </c>
      <c r="AZ176" s="25" t="b">
        <f t="shared" si="45"/>
        <v>0</v>
      </c>
      <c r="BA176" s="25">
        <f t="shared" si="46"/>
        <v>175</v>
      </c>
      <c r="BB176" s="25" t="b">
        <f t="shared" si="47"/>
        <v>0</v>
      </c>
      <c r="BC176" s="25" t="b">
        <f t="shared" si="48"/>
        <v>0</v>
      </c>
      <c r="BR176" s="28">
        <v>0.42</v>
      </c>
      <c r="BS176" s="28">
        <f t="shared" si="65"/>
        <v>0.80798284478112992</v>
      </c>
      <c r="BX176"/>
      <c r="CR176" s="44"/>
    </row>
    <row r="177" spans="36:171" ht="16.05" customHeight="1">
      <c r="AK177" s="4">
        <v>176</v>
      </c>
      <c r="AL177" s="4">
        <v>1</v>
      </c>
      <c r="AM177" s="4">
        <v>1</v>
      </c>
      <c r="AN177" s="4">
        <v>1</v>
      </c>
      <c r="AO177" s="197" t="s">
        <v>2278</v>
      </c>
      <c r="AP177" s="198">
        <v>299.60000000000002</v>
      </c>
      <c r="AQ177">
        <v>12</v>
      </c>
      <c r="AR177">
        <v>12</v>
      </c>
      <c r="AS177">
        <v>4</v>
      </c>
      <c r="AT177">
        <v>2</v>
      </c>
      <c r="AU177">
        <v>35</v>
      </c>
      <c r="AV177">
        <v>100</v>
      </c>
      <c r="AW177">
        <v>15.6</v>
      </c>
      <c r="AY177" s="38">
        <f t="shared" si="44"/>
        <v>176</v>
      </c>
      <c r="AZ177" s="25">
        <f t="shared" si="45"/>
        <v>176</v>
      </c>
      <c r="BA177" s="25">
        <f t="shared" si="46"/>
        <v>176</v>
      </c>
      <c r="BB177" s="25">
        <f t="shared" si="47"/>
        <v>176</v>
      </c>
      <c r="BC177" s="25">
        <f t="shared" si="48"/>
        <v>176</v>
      </c>
      <c r="BR177" s="28">
        <v>0.45</v>
      </c>
      <c r="BS177" s="28">
        <f t="shared" si="65"/>
        <v>0.83297200492899992</v>
      </c>
      <c r="BX177"/>
      <c r="CR177" s="44"/>
    </row>
    <row r="178" spans="36:171" ht="16.05" customHeight="1">
      <c r="AK178" s="4">
        <v>177</v>
      </c>
      <c r="AL178" s="4">
        <v>1</v>
      </c>
      <c r="AM178" s="4">
        <v>1</v>
      </c>
      <c r="AN178" s="4">
        <v>2</v>
      </c>
      <c r="AO178" s="197" t="s">
        <v>2279</v>
      </c>
      <c r="AP178" s="198">
        <v>329.3</v>
      </c>
      <c r="AQ178">
        <v>12</v>
      </c>
      <c r="AR178">
        <v>12</v>
      </c>
      <c r="AS178">
        <v>4</v>
      </c>
      <c r="AT178">
        <v>18</v>
      </c>
      <c r="AU178">
        <v>33.159999999999997</v>
      </c>
      <c r="AV178">
        <v>100</v>
      </c>
      <c r="AW178">
        <v>15.475</v>
      </c>
      <c r="AY178" s="38">
        <f t="shared" si="44"/>
        <v>177</v>
      </c>
      <c r="AZ178" s="25" t="b">
        <f t="shared" si="45"/>
        <v>0</v>
      </c>
      <c r="BA178" s="25">
        <f t="shared" si="46"/>
        <v>177</v>
      </c>
      <c r="BB178" s="25" t="b">
        <f t="shared" si="47"/>
        <v>0</v>
      </c>
      <c r="BC178" s="25" t="b">
        <f t="shared" si="48"/>
        <v>0</v>
      </c>
      <c r="BR178" s="28">
        <v>0.5</v>
      </c>
      <c r="BS178" s="28">
        <f t="shared" si="65"/>
        <v>0.8587340256999999</v>
      </c>
      <c r="CR178" s="44"/>
    </row>
    <row r="179" spans="36:171" ht="16.05" customHeight="1">
      <c r="AK179" s="4">
        <v>178</v>
      </c>
      <c r="AL179" s="4">
        <v>1</v>
      </c>
      <c r="AM179" s="4">
        <v>1</v>
      </c>
      <c r="AN179" s="4">
        <v>2</v>
      </c>
      <c r="AO179" s="197" t="s">
        <v>2280</v>
      </c>
      <c r="AP179" s="198">
        <v>299.60000000000002</v>
      </c>
      <c r="AQ179">
        <v>12</v>
      </c>
      <c r="AR179">
        <v>12</v>
      </c>
      <c r="AS179">
        <v>4</v>
      </c>
      <c r="AT179">
        <v>16</v>
      </c>
      <c r="AU179">
        <v>30.96</v>
      </c>
      <c r="AV179">
        <v>100</v>
      </c>
      <c r="AW179">
        <v>18.649999999999999</v>
      </c>
      <c r="AY179" s="38">
        <f t="shared" si="44"/>
        <v>178</v>
      </c>
      <c r="AZ179" s="25" t="b">
        <f t="shared" si="45"/>
        <v>0</v>
      </c>
      <c r="BA179" s="25">
        <f t="shared" si="46"/>
        <v>178</v>
      </c>
      <c r="BB179" s="25" t="b">
        <f t="shared" si="47"/>
        <v>0</v>
      </c>
      <c r="BC179" s="25" t="b">
        <f t="shared" si="48"/>
        <v>0</v>
      </c>
      <c r="BR179" s="28">
        <v>0.56000000000000005</v>
      </c>
      <c r="BS179" s="28">
        <f t="shared" si="65"/>
        <v>0.88529280999999993</v>
      </c>
      <c r="CR179" s="44"/>
    </row>
    <row r="180" spans="36:171" ht="16.05" customHeight="1">
      <c r="AK180" s="4">
        <v>179</v>
      </c>
      <c r="AL180" s="4">
        <v>1</v>
      </c>
      <c r="AM180" s="4">
        <v>1</v>
      </c>
      <c r="AN180" s="4">
        <v>1</v>
      </c>
      <c r="AO180" s="197" t="s">
        <v>2281</v>
      </c>
      <c r="AP180" s="198">
        <v>299.60000000000002</v>
      </c>
      <c r="AQ180">
        <v>12</v>
      </c>
      <c r="AR180">
        <v>12</v>
      </c>
      <c r="AS180">
        <v>4</v>
      </c>
      <c r="AT180">
        <v>1.5</v>
      </c>
      <c r="AU180">
        <v>29.25</v>
      </c>
      <c r="AV180">
        <v>83</v>
      </c>
      <c r="AW180">
        <v>15.6</v>
      </c>
      <c r="AY180" s="38">
        <f t="shared" si="44"/>
        <v>179</v>
      </c>
      <c r="AZ180" s="25" t="b">
        <f t="shared" si="45"/>
        <v>0</v>
      </c>
      <c r="BA180" s="25">
        <f t="shared" si="46"/>
        <v>179</v>
      </c>
      <c r="BB180" s="25">
        <f t="shared" si="47"/>
        <v>179</v>
      </c>
      <c r="BC180" s="25" t="b">
        <f t="shared" si="48"/>
        <v>0</v>
      </c>
      <c r="BR180" s="28">
        <v>0.63</v>
      </c>
      <c r="BS180" s="28">
        <f t="shared" si="65"/>
        <v>0.91267299999999996</v>
      </c>
      <c r="CR180" s="44"/>
    </row>
    <row r="181" spans="36:171" ht="16.05" customHeight="1">
      <c r="AK181" s="4">
        <v>180</v>
      </c>
      <c r="AL181" s="4">
        <v>1</v>
      </c>
      <c r="AM181" s="4">
        <v>1</v>
      </c>
      <c r="AN181" s="4">
        <v>1</v>
      </c>
      <c r="AO181" s="197" t="s">
        <v>2282</v>
      </c>
      <c r="AP181" s="198">
        <v>272.2</v>
      </c>
      <c r="AQ181">
        <v>12</v>
      </c>
      <c r="AR181">
        <v>12</v>
      </c>
      <c r="AS181">
        <v>4</v>
      </c>
      <c r="AT181">
        <v>2</v>
      </c>
      <c r="AU181">
        <v>27</v>
      </c>
      <c r="AV181">
        <v>83</v>
      </c>
      <c r="AW181">
        <v>15.6</v>
      </c>
      <c r="AY181" s="38">
        <f t="shared" si="44"/>
        <v>180</v>
      </c>
      <c r="AZ181" s="25">
        <f t="shared" si="45"/>
        <v>180</v>
      </c>
      <c r="BA181" s="25">
        <f t="shared" si="46"/>
        <v>180</v>
      </c>
      <c r="BB181" s="25">
        <f t="shared" si="47"/>
        <v>180</v>
      </c>
      <c r="BC181" s="25">
        <f t="shared" si="48"/>
        <v>180</v>
      </c>
      <c r="BR181" s="28">
        <v>0.71</v>
      </c>
      <c r="BS181" s="28">
        <f t="shared" si="65"/>
        <v>0.94089999999999996</v>
      </c>
      <c r="CR181" s="44"/>
    </row>
    <row r="182" spans="36:171" ht="16.05" customHeight="1">
      <c r="AK182" s="4">
        <v>181</v>
      </c>
      <c r="AL182" s="4">
        <v>1</v>
      </c>
      <c r="AM182" s="4">
        <v>1</v>
      </c>
      <c r="AN182" s="4">
        <v>2</v>
      </c>
      <c r="AO182" s="197" t="s">
        <v>2283</v>
      </c>
      <c r="AP182" s="198">
        <v>299.60000000000002</v>
      </c>
      <c r="AQ182">
        <v>12</v>
      </c>
      <c r="AR182">
        <v>12</v>
      </c>
      <c r="AS182">
        <v>4</v>
      </c>
      <c r="AT182">
        <v>18</v>
      </c>
      <c r="AU182">
        <v>26.11</v>
      </c>
      <c r="AV182">
        <v>83</v>
      </c>
      <c r="AW182">
        <v>15.475</v>
      </c>
      <c r="AY182" s="38">
        <f t="shared" si="44"/>
        <v>181</v>
      </c>
      <c r="AZ182" s="25" t="b">
        <f t="shared" si="45"/>
        <v>0</v>
      </c>
      <c r="BA182" s="25">
        <f t="shared" si="46"/>
        <v>181</v>
      </c>
      <c r="BB182" s="25" t="b">
        <f t="shared" si="47"/>
        <v>0</v>
      </c>
      <c r="BC182" s="25" t="b">
        <f t="shared" si="48"/>
        <v>0</v>
      </c>
      <c r="BR182" s="28">
        <v>0.83</v>
      </c>
      <c r="BS182" s="28">
        <f t="shared" si="65"/>
        <v>0.97</v>
      </c>
      <c r="CR182" s="44"/>
    </row>
    <row r="183" spans="36:171" ht="16.05" customHeight="1">
      <c r="AJ183" t="s">
        <v>1816</v>
      </c>
      <c r="AK183" s="4">
        <v>182</v>
      </c>
      <c r="AL183" s="4">
        <v>1</v>
      </c>
      <c r="AM183" s="4">
        <v>1</v>
      </c>
      <c r="AN183" s="4">
        <v>1</v>
      </c>
      <c r="AO183" s="197" t="s">
        <v>2284</v>
      </c>
      <c r="AP183" s="198">
        <v>272.2</v>
      </c>
      <c r="AQ183">
        <v>12</v>
      </c>
      <c r="AR183">
        <v>12</v>
      </c>
      <c r="AS183">
        <v>4</v>
      </c>
      <c r="AT183">
        <v>1.5</v>
      </c>
      <c r="AU183">
        <v>21.75</v>
      </c>
      <c r="AV183">
        <v>83</v>
      </c>
      <c r="AW183">
        <v>15.6</v>
      </c>
      <c r="AY183" s="38">
        <f t="shared" si="44"/>
        <v>182</v>
      </c>
      <c r="AZ183" s="25" t="b">
        <f t="shared" si="45"/>
        <v>0</v>
      </c>
      <c r="BA183" s="25" t="b">
        <f t="shared" si="46"/>
        <v>0</v>
      </c>
      <c r="BB183" s="25">
        <f t="shared" si="47"/>
        <v>182</v>
      </c>
      <c r="BC183" s="25" t="b">
        <f t="shared" si="48"/>
        <v>0</v>
      </c>
      <c r="BR183" s="29">
        <v>1</v>
      </c>
      <c r="BS183" s="28">
        <v>1</v>
      </c>
      <c r="CR183" s="44"/>
    </row>
    <row r="184" spans="36:171" ht="16.05" customHeight="1">
      <c r="AJ184" t="s">
        <v>1816</v>
      </c>
      <c r="AK184" s="4">
        <v>183</v>
      </c>
      <c r="AL184" s="4">
        <v>1</v>
      </c>
      <c r="AM184" s="4">
        <v>1</v>
      </c>
      <c r="AN184" s="4">
        <v>1</v>
      </c>
      <c r="AO184" s="197" t="s">
        <v>2285</v>
      </c>
      <c r="AP184" s="198">
        <v>247.4</v>
      </c>
      <c r="AQ184">
        <v>12</v>
      </c>
      <c r="AR184">
        <v>12</v>
      </c>
      <c r="AS184">
        <v>4</v>
      </c>
      <c r="AT184">
        <v>1.5</v>
      </c>
      <c r="AU184">
        <v>15.75</v>
      </c>
      <c r="AV184">
        <v>83</v>
      </c>
      <c r="AW184">
        <v>15.6</v>
      </c>
      <c r="AY184" s="38">
        <f t="shared" si="44"/>
        <v>183</v>
      </c>
      <c r="AZ184" s="25" t="b">
        <f t="shared" si="45"/>
        <v>0</v>
      </c>
      <c r="BA184" s="25" t="b">
        <f t="shared" si="46"/>
        <v>0</v>
      </c>
      <c r="BB184" s="25">
        <f t="shared" si="47"/>
        <v>183</v>
      </c>
      <c r="BC184" s="25" t="b">
        <f t="shared" si="48"/>
        <v>0</v>
      </c>
      <c r="BR184" s="29">
        <v>1.2</v>
      </c>
      <c r="BS184" s="28">
        <f>BS183*0.97</f>
        <v>0.97</v>
      </c>
      <c r="CR184" s="44"/>
    </row>
    <row r="185" spans="36:171" ht="16.05" customHeight="1">
      <c r="AK185" s="4">
        <v>184</v>
      </c>
      <c r="AL185" s="4">
        <v>1</v>
      </c>
      <c r="AM185" s="4">
        <v>1</v>
      </c>
      <c r="AN185" s="4">
        <v>1</v>
      </c>
      <c r="AO185" s="197" t="s">
        <v>2286</v>
      </c>
      <c r="AP185" s="198">
        <v>362.4</v>
      </c>
      <c r="AQ185">
        <v>12</v>
      </c>
      <c r="AR185">
        <v>12</v>
      </c>
      <c r="AS185">
        <v>3</v>
      </c>
      <c r="AT185">
        <v>2</v>
      </c>
      <c r="AU185">
        <v>51</v>
      </c>
      <c r="AV185">
        <v>100</v>
      </c>
      <c r="AW185">
        <v>15.6</v>
      </c>
      <c r="AY185" s="38">
        <f t="shared" si="44"/>
        <v>184</v>
      </c>
      <c r="AZ185" s="25">
        <f t="shared" si="45"/>
        <v>184</v>
      </c>
      <c r="BA185" s="25">
        <f t="shared" si="46"/>
        <v>184</v>
      </c>
      <c r="BB185" s="25">
        <f t="shared" si="47"/>
        <v>184</v>
      </c>
      <c r="BC185" s="25">
        <f t="shared" si="48"/>
        <v>184</v>
      </c>
      <c r="BR185" s="29">
        <v>1.4</v>
      </c>
      <c r="BS185" s="28">
        <f t="shared" ref="BS185:BS193" si="66">BS184*0.97</f>
        <v>0.94089999999999996</v>
      </c>
      <c r="CR185" s="44"/>
    </row>
    <row r="186" spans="36:171" ht="16.05" customHeight="1">
      <c r="AK186" s="4">
        <v>185</v>
      </c>
      <c r="AL186" s="4">
        <v>1</v>
      </c>
      <c r="AM186" s="4">
        <v>1</v>
      </c>
      <c r="AN186" s="4">
        <v>1</v>
      </c>
      <c r="AO186" s="197" t="s">
        <v>2287</v>
      </c>
      <c r="AP186" s="198">
        <v>362.4</v>
      </c>
      <c r="AQ186">
        <v>12</v>
      </c>
      <c r="AR186">
        <v>12</v>
      </c>
      <c r="AS186">
        <v>3</v>
      </c>
      <c r="AT186">
        <v>2.5</v>
      </c>
      <c r="AU186">
        <v>48.75</v>
      </c>
      <c r="AV186">
        <v>100</v>
      </c>
      <c r="AW186">
        <v>17.600000000000001</v>
      </c>
      <c r="AY186" s="38">
        <f t="shared" si="44"/>
        <v>185</v>
      </c>
      <c r="AZ186" s="25" t="b">
        <f t="shared" si="45"/>
        <v>0</v>
      </c>
      <c r="BA186" s="25">
        <f t="shared" si="46"/>
        <v>185</v>
      </c>
      <c r="BB186" s="25">
        <f t="shared" si="47"/>
        <v>185</v>
      </c>
      <c r="BC186" s="25" t="b">
        <f t="shared" si="48"/>
        <v>0</v>
      </c>
      <c r="BR186" s="29">
        <v>1.6</v>
      </c>
      <c r="BS186" s="28">
        <f t="shared" si="66"/>
        <v>0.91267299999999996</v>
      </c>
      <c r="CR186" s="44"/>
    </row>
    <row r="187" spans="36:171" ht="16.05" customHeight="1">
      <c r="AK187" s="4">
        <v>186</v>
      </c>
      <c r="AL187" s="4">
        <v>1</v>
      </c>
      <c r="AM187" s="4">
        <v>1</v>
      </c>
      <c r="AN187" s="4">
        <v>2</v>
      </c>
      <c r="AO187" s="197" t="s">
        <v>2288</v>
      </c>
      <c r="AP187" s="198">
        <v>299.60000000000002</v>
      </c>
      <c r="AQ187">
        <v>12</v>
      </c>
      <c r="AR187">
        <v>12</v>
      </c>
      <c r="AS187">
        <v>3</v>
      </c>
      <c r="AT187">
        <v>10</v>
      </c>
      <c r="AU187">
        <v>41.91</v>
      </c>
      <c r="AV187">
        <v>100</v>
      </c>
      <c r="AW187">
        <v>18.649999999999999</v>
      </c>
      <c r="AY187" s="38">
        <f t="shared" si="44"/>
        <v>186</v>
      </c>
      <c r="AZ187" s="25" t="b">
        <f t="shared" si="45"/>
        <v>0</v>
      </c>
      <c r="BA187" s="25">
        <f t="shared" si="46"/>
        <v>186</v>
      </c>
      <c r="BB187" s="25" t="b">
        <f t="shared" si="47"/>
        <v>0</v>
      </c>
      <c r="BC187" s="25" t="b">
        <f t="shared" si="48"/>
        <v>0</v>
      </c>
      <c r="BR187" s="29">
        <v>1.8</v>
      </c>
      <c r="BS187" s="28">
        <f t="shared" si="66"/>
        <v>0.88529280999999993</v>
      </c>
      <c r="CR187" s="44"/>
      <c r="FN187" s="118">
        <v>39</v>
      </c>
      <c r="FO187" s="126" t="s">
        <v>28</v>
      </c>
    </row>
    <row r="188" spans="36:171" ht="16.05" customHeight="1">
      <c r="AK188" s="4">
        <v>187</v>
      </c>
      <c r="AL188" s="4">
        <v>1</v>
      </c>
      <c r="AM188" s="4">
        <v>1</v>
      </c>
      <c r="AN188" s="4">
        <v>1</v>
      </c>
      <c r="AO188" s="197" t="s">
        <v>2289</v>
      </c>
      <c r="AP188" s="198">
        <v>329.3</v>
      </c>
      <c r="AQ188">
        <v>12</v>
      </c>
      <c r="AR188">
        <v>12</v>
      </c>
      <c r="AS188">
        <v>3</v>
      </c>
      <c r="AT188">
        <v>2.5</v>
      </c>
      <c r="AU188">
        <v>38.75</v>
      </c>
      <c r="AV188">
        <v>100</v>
      </c>
      <c r="AW188">
        <v>17.600000000000001</v>
      </c>
      <c r="AY188" s="38">
        <f t="shared" si="44"/>
        <v>187</v>
      </c>
      <c r="AZ188" s="25" t="b">
        <f t="shared" si="45"/>
        <v>0</v>
      </c>
      <c r="BA188" s="25">
        <f t="shared" si="46"/>
        <v>187</v>
      </c>
      <c r="BB188" s="25">
        <f t="shared" si="47"/>
        <v>187</v>
      </c>
      <c r="BC188" s="25" t="b">
        <f t="shared" si="48"/>
        <v>0</v>
      </c>
      <c r="BR188" s="29">
        <v>2</v>
      </c>
      <c r="BS188" s="28">
        <f t="shared" si="66"/>
        <v>0.8587340256999999</v>
      </c>
      <c r="CR188" s="44"/>
    </row>
    <row r="189" spans="36:171" ht="16.05" customHeight="1">
      <c r="AK189" s="4">
        <v>188</v>
      </c>
      <c r="AL189" s="4">
        <v>1</v>
      </c>
      <c r="AM189" s="4">
        <v>1</v>
      </c>
      <c r="AN189" s="4">
        <v>1</v>
      </c>
      <c r="AO189" s="197" t="s">
        <v>2290</v>
      </c>
      <c r="AP189" s="198">
        <v>299.60000000000002</v>
      </c>
      <c r="AQ189">
        <v>12</v>
      </c>
      <c r="AR189">
        <v>12</v>
      </c>
      <c r="AS189">
        <v>3</v>
      </c>
      <c r="AT189">
        <v>2.5</v>
      </c>
      <c r="AU189">
        <v>31.25</v>
      </c>
      <c r="AV189">
        <v>100</v>
      </c>
      <c r="AW189">
        <v>17.600000000000001</v>
      </c>
      <c r="AY189" s="38">
        <f t="shared" si="44"/>
        <v>188</v>
      </c>
      <c r="AZ189" s="25" t="b">
        <f t="shared" si="45"/>
        <v>0</v>
      </c>
      <c r="BA189" s="25">
        <f t="shared" si="46"/>
        <v>188</v>
      </c>
      <c r="BB189" s="25">
        <f t="shared" si="47"/>
        <v>188</v>
      </c>
      <c r="BC189" s="25" t="b">
        <f t="shared" si="48"/>
        <v>0</v>
      </c>
      <c r="BR189" s="29">
        <v>2.2000000000000002</v>
      </c>
      <c r="BS189" s="28">
        <f t="shared" si="66"/>
        <v>0.83297200492899992</v>
      </c>
      <c r="CR189" s="44"/>
    </row>
    <row r="190" spans="36:171" ht="16.05" customHeight="1">
      <c r="AK190" s="4">
        <v>189</v>
      </c>
      <c r="AL190" s="4">
        <v>1</v>
      </c>
      <c r="AM190" s="4">
        <v>1</v>
      </c>
      <c r="AN190" s="4">
        <v>2</v>
      </c>
      <c r="AO190" s="197" t="s">
        <v>2291</v>
      </c>
      <c r="AP190" s="198">
        <v>272.2</v>
      </c>
      <c r="AQ190">
        <v>12</v>
      </c>
      <c r="AR190">
        <v>12</v>
      </c>
      <c r="AS190">
        <v>3</v>
      </c>
      <c r="AT190">
        <v>10</v>
      </c>
      <c r="AU190">
        <v>31.75</v>
      </c>
      <c r="AV190">
        <v>100</v>
      </c>
      <c r="AW190">
        <v>18.649999999999999</v>
      </c>
      <c r="AY190" s="38">
        <f t="shared" si="44"/>
        <v>189</v>
      </c>
      <c r="AZ190" s="25" t="b">
        <f t="shared" si="45"/>
        <v>0</v>
      </c>
      <c r="BA190" s="25">
        <f t="shared" si="46"/>
        <v>189</v>
      </c>
      <c r="BB190" s="25" t="b">
        <f t="shared" si="47"/>
        <v>0</v>
      </c>
      <c r="BC190" s="25" t="b">
        <f t="shared" si="48"/>
        <v>0</v>
      </c>
      <c r="BR190" s="29">
        <v>2.4</v>
      </c>
      <c r="BS190" s="28">
        <f t="shared" si="66"/>
        <v>0.80798284478112992</v>
      </c>
      <c r="CR190" s="44"/>
    </row>
    <row r="191" spans="36:171" ht="16.05" customHeight="1">
      <c r="AK191" s="4">
        <v>190</v>
      </c>
      <c r="AL191" s="4">
        <v>1</v>
      </c>
      <c r="AM191" s="4">
        <v>1</v>
      </c>
      <c r="AN191" s="4">
        <v>2</v>
      </c>
      <c r="AO191" s="197" t="s">
        <v>2292</v>
      </c>
      <c r="AP191" s="198">
        <v>329.3</v>
      </c>
      <c r="AQ191">
        <v>12</v>
      </c>
      <c r="AR191">
        <v>11.7</v>
      </c>
      <c r="AS191">
        <v>3</v>
      </c>
      <c r="AT191">
        <v>11</v>
      </c>
      <c r="AU191">
        <v>42.72</v>
      </c>
      <c r="AV191">
        <v>100</v>
      </c>
      <c r="AW191">
        <v>15.475</v>
      </c>
      <c r="AY191" s="38">
        <f t="shared" si="44"/>
        <v>190</v>
      </c>
      <c r="AZ191" s="25" t="b">
        <f t="shared" si="45"/>
        <v>0</v>
      </c>
      <c r="BA191" s="25">
        <f t="shared" si="46"/>
        <v>190</v>
      </c>
      <c r="BB191" s="25" t="b">
        <f t="shared" si="47"/>
        <v>0</v>
      </c>
      <c r="BC191" s="25" t="b">
        <f t="shared" si="48"/>
        <v>0</v>
      </c>
      <c r="BR191" s="29">
        <v>2.6</v>
      </c>
      <c r="BS191" s="28">
        <f t="shared" si="66"/>
        <v>0.78374335943769602</v>
      </c>
      <c r="CR191" s="44"/>
    </row>
    <row r="192" spans="36:171" ht="16.05" customHeight="1">
      <c r="AJ192" t="s">
        <v>1816</v>
      </c>
      <c r="AK192" s="4">
        <v>191</v>
      </c>
      <c r="AL192" s="4">
        <v>1</v>
      </c>
      <c r="AM192" s="4">
        <v>1</v>
      </c>
      <c r="AN192" s="4">
        <v>1</v>
      </c>
      <c r="AO192" s="197" t="s">
        <v>2293</v>
      </c>
      <c r="AP192" s="198">
        <v>255</v>
      </c>
      <c r="AQ192">
        <v>10</v>
      </c>
      <c r="AR192">
        <v>10</v>
      </c>
      <c r="AS192">
        <v>5</v>
      </c>
      <c r="AT192">
        <v>1</v>
      </c>
      <c r="AU192">
        <v>19.5</v>
      </c>
      <c r="AV192">
        <v>76</v>
      </c>
      <c r="AW192">
        <v>11.7</v>
      </c>
      <c r="AY192" s="38">
        <f t="shared" si="44"/>
        <v>191</v>
      </c>
      <c r="AZ192" s="25" t="b">
        <f t="shared" si="45"/>
        <v>0</v>
      </c>
      <c r="BA192" s="25" t="b">
        <f t="shared" si="46"/>
        <v>0</v>
      </c>
      <c r="BB192" s="25">
        <f t="shared" si="47"/>
        <v>191</v>
      </c>
      <c r="BC192" s="25" t="b">
        <f t="shared" si="48"/>
        <v>0</v>
      </c>
      <c r="BR192" s="29">
        <v>2.8</v>
      </c>
      <c r="BS192" s="28">
        <f t="shared" si="66"/>
        <v>0.76023105865456508</v>
      </c>
      <c r="CR192" s="44"/>
    </row>
    <row r="193" spans="36:96" ht="16.05" customHeight="1">
      <c r="AJ193" t="s">
        <v>1816</v>
      </c>
      <c r="AK193" s="4">
        <v>192</v>
      </c>
      <c r="AL193" s="4">
        <v>1</v>
      </c>
      <c r="AM193" s="4">
        <v>1</v>
      </c>
      <c r="AN193" s="4">
        <v>1</v>
      </c>
      <c r="AO193" s="197" t="s">
        <v>2294</v>
      </c>
      <c r="AP193" s="198">
        <v>231.9</v>
      </c>
      <c r="AQ193">
        <v>10</v>
      </c>
      <c r="AR193">
        <v>10</v>
      </c>
      <c r="AS193">
        <v>5</v>
      </c>
      <c r="AT193">
        <v>1</v>
      </c>
      <c r="AU193">
        <v>14.5</v>
      </c>
      <c r="AV193">
        <v>76</v>
      </c>
      <c r="AW193">
        <v>11.7</v>
      </c>
      <c r="AY193" s="38">
        <f t="shared" si="44"/>
        <v>192</v>
      </c>
      <c r="AZ193" s="25" t="b">
        <f t="shared" si="45"/>
        <v>0</v>
      </c>
      <c r="BA193" s="25" t="b">
        <f t="shared" si="46"/>
        <v>0</v>
      </c>
      <c r="BB193" s="25">
        <f t="shared" si="47"/>
        <v>192</v>
      </c>
      <c r="BC193" s="25" t="b">
        <f t="shared" si="48"/>
        <v>0</v>
      </c>
      <c r="BR193" s="29">
        <v>3</v>
      </c>
      <c r="BS193" s="28">
        <f t="shared" si="66"/>
        <v>0.73742412689492809</v>
      </c>
      <c r="CR193" s="44"/>
    </row>
    <row r="194" spans="36:96" ht="16.05" customHeight="1">
      <c r="AK194" s="4">
        <v>193</v>
      </c>
      <c r="AL194" s="4">
        <v>1</v>
      </c>
      <c r="AM194" s="4">
        <v>1</v>
      </c>
      <c r="AN194" s="4">
        <v>2</v>
      </c>
      <c r="AO194" s="197" t="s">
        <v>2295</v>
      </c>
      <c r="AP194" s="198">
        <v>280.39999999999998</v>
      </c>
      <c r="AQ194">
        <v>10</v>
      </c>
      <c r="AR194">
        <v>10</v>
      </c>
      <c r="AS194">
        <v>4</v>
      </c>
      <c r="AT194">
        <v>18</v>
      </c>
      <c r="AU194">
        <v>30.34</v>
      </c>
      <c r="AV194">
        <v>100</v>
      </c>
      <c r="AW194">
        <v>13.888</v>
      </c>
      <c r="AY194" s="38">
        <f t="shared" ref="AY194:AY257" si="67">IF(C$10&gt;=AW194,AK194)</f>
        <v>193</v>
      </c>
      <c r="AZ194" s="25" t="b">
        <f t="shared" ref="AZ194:AZ257" si="68">IF(C$11=AT194,AK194)</f>
        <v>0</v>
      </c>
      <c r="BA194" s="25">
        <f t="shared" ref="BA194:BA257" si="69">IF(C$12&lt;=AU194,AK194)</f>
        <v>193</v>
      </c>
      <c r="BB194" s="25" t="b">
        <f t="shared" ref="BB194:BB257" si="70">IF(AN194=BT$10,AK194)</f>
        <v>0</v>
      </c>
      <c r="BC194" s="25" t="b">
        <f t="shared" ref="BC194:BC257" si="71">IF(AY194=FALSE,FALSE,IF(AZ194=FALSE,FALSE,IF(BA194=FALSE,FALSE,IF(BB194=FALSE,FALSE,AK194))))</f>
        <v>0</v>
      </c>
      <c r="BR194" s="29">
        <v>3.2</v>
      </c>
      <c r="BS194" s="28">
        <f>BS193*0.97</f>
        <v>0.71530140308808021</v>
      </c>
      <c r="CR194" s="44"/>
    </row>
    <row r="195" spans="36:96" ht="16.05" customHeight="1">
      <c r="AK195" s="4">
        <v>194</v>
      </c>
      <c r="AL195" s="4">
        <v>1</v>
      </c>
      <c r="AM195" s="4">
        <v>1</v>
      </c>
      <c r="AN195" s="4">
        <v>2</v>
      </c>
      <c r="AO195" s="197" t="s">
        <v>2296</v>
      </c>
      <c r="AP195" s="198">
        <v>280.39999999999998</v>
      </c>
      <c r="AQ195">
        <v>10</v>
      </c>
      <c r="AR195">
        <v>10</v>
      </c>
      <c r="AS195">
        <v>4</v>
      </c>
      <c r="AT195">
        <v>20</v>
      </c>
      <c r="AU195">
        <v>27.31</v>
      </c>
      <c r="AV195">
        <v>76</v>
      </c>
      <c r="AW195">
        <v>12.3</v>
      </c>
      <c r="AY195" s="38">
        <f t="shared" si="67"/>
        <v>194</v>
      </c>
      <c r="AZ195" s="25" t="b">
        <f t="shared" si="68"/>
        <v>0</v>
      </c>
      <c r="BA195" s="25">
        <f t="shared" si="69"/>
        <v>194</v>
      </c>
      <c r="BB195" s="25" t="b">
        <f t="shared" si="70"/>
        <v>0</v>
      </c>
      <c r="BC195" s="25" t="b">
        <f t="shared" si="71"/>
        <v>0</v>
      </c>
      <c r="BR195" s="29">
        <v>3.4</v>
      </c>
      <c r="BS195" s="28">
        <f>BS194*0.97</f>
        <v>0.69384236099543783</v>
      </c>
      <c r="CR195" s="44"/>
    </row>
    <row r="196" spans="36:96" ht="16.05" customHeight="1">
      <c r="AK196" s="4">
        <v>195</v>
      </c>
      <c r="AL196" s="4">
        <v>1</v>
      </c>
      <c r="AM196" s="4">
        <v>1</v>
      </c>
      <c r="AN196" s="4">
        <v>2</v>
      </c>
      <c r="AO196" s="197" t="s">
        <v>2297</v>
      </c>
      <c r="AP196" s="198">
        <v>255</v>
      </c>
      <c r="AQ196">
        <v>10</v>
      </c>
      <c r="AR196">
        <v>10</v>
      </c>
      <c r="AS196">
        <v>4</v>
      </c>
      <c r="AT196">
        <v>18</v>
      </c>
      <c r="AU196">
        <v>23.28</v>
      </c>
      <c r="AV196">
        <v>76</v>
      </c>
      <c r="AW196">
        <v>13.888</v>
      </c>
      <c r="AY196" s="38">
        <f t="shared" si="67"/>
        <v>195</v>
      </c>
      <c r="AZ196" s="25" t="b">
        <f t="shared" si="68"/>
        <v>0</v>
      </c>
      <c r="BA196" s="25" t="b">
        <f t="shared" si="69"/>
        <v>0</v>
      </c>
      <c r="BB196" s="25" t="b">
        <f t="shared" si="70"/>
        <v>0</v>
      </c>
      <c r="BC196" s="25" t="b">
        <f t="shared" si="71"/>
        <v>0</v>
      </c>
      <c r="BR196" s="29">
        <v>3.6</v>
      </c>
      <c r="BS196" s="28">
        <f>BS195*0.97</f>
        <v>0.67302709016557472</v>
      </c>
      <c r="CR196" s="44"/>
    </row>
    <row r="197" spans="36:96" ht="16.05" customHeight="1">
      <c r="AK197" s="4">
        <v>196</v>
      </c>
      <c r="AL197" s="4">
        <v>1</v>
      </c>
      <c r="AM197" s="4">
        <v>1</v>
      </c>
      <c r="AN197" s="4">
        <v>1</v>
      </c>
      <c r="AO197" s="197" t="s">
        <v>2298</v>
      </c>
      <c r="AP197" s="198">
        <v>255</v>
      </c>
      <c r="AQ197">
        <v>10</v>
      </c>
      <c r="AR197">
        <v>10</v>
      </c>
      <c r="AS197">
        <v>4</v>
      </c>
      <c r="AT197">
        <v>1.5</v>
      </c>
      <c r="AU197">
        <v>23.25</v>
      </c>
      <c r="AV197">
        <v>76</v>
      </c>
      <c r="AW197">
        <v>13.6</v>
      </c>
      <c r="AY197" s="38">
        <f t="shared" si="67"/>
        <v>196</v>
      </c>
      <c r="AZ197" s="25" t="b">
        <f t="shared" si="68"/>
        <v>0</v>
      </c>
      <c r="BA197" s="25" t="b">
        <f t="shared" si="69"/>
        <v>0</v>
      </c>
      <c r="BB197" s="25">
        <f t="shared" si="70"/>
        <v>196</v>
      </c>
      <c r="BC197" s="25" t="b">
        <f t="shared" si="71"/>
        <v>0</v>
      </c>
      <c r="BR197" s="29">
        <v>3.8</v>
      </c>
      <c r="BS197" s="28">
        <f>BS196*0.97</f>
        <v>0.65283627746060746</v>
      </c>
      <c r="CR197" s="44"/>
    </row>
    <row r="198" spans="36:96" ht="16.05" customHeight="1">
      <c r="AK198" s="4">
        <v>197</v>
      </c>
      <c r="AL198" s="4">
        <v>1</v>
      </c>
      <c r="AM198" s="4">
        <v>1</v>
      </c>
      <c r="AN198" s="4">
        <v>2</v>
      </c>
      <c r="AO198" s="197" t="s">
        <v>2299</v>
      </c>
      <c r="AP198" s="198">
        <v>255</v>
      </c>
      <c r="AQ198">
        <v>10</v>
      </c>
      <c r="AR198">
        <v>10</v>
      </c>
      <c r="AS198">
        <v>4</v>
      </c>
      <c r="AT198">
        <v>20</v>
      </c>
      <c r="AU198">
        <v>20.96</v>
      </c>
      <c r="AV198">
        <v>76</v>
      </c>
      <c r="AW198">
        <v>12.3</v>
      </c>
      <c r="AY198" s="38">
        <f t="shared" si="67"/>
        <v>197</v>
      </c>
      <c r="AZ198" s="25" t="b">
        <f t="shared" si="68"/>
        <v>0</v>
      </c>
      <c r="BA198" s="25" t="b">
        <f t="shared" si="69"/>
        <v>0</v>
      </c>
      <c r="BB198" s="25" t="b">
        <f t="shared" si="70"/>
        <v>0</v>
      </c>
      <c r="BC198" s="25" t="b">
        <f t="shared" si="71"/>
        <v>0</v>
      </c>
      <c r="BR198" s="29">
        <v>4</v>
      </c>
      <c r="BS198" s="28">
        <f>BS197*0.97</f>
        <v>0.63325118913678924</v>
      </c>
      <c r="CR198" s="44"/>
    </row>
    <row r="199" spans="36:96" ht="16.05" customHeight="1">
      <c r="AJ199" t="s">
        <v>1816</v>
      </c>
      <c r="AK199" s="4">
        <v>198</v>
      </c>
      <c r="AL199" s="4">
        <v>1</v>
      </c>
      <c r="AM199" s="4">
        <v>1</v>
      </c>
      <c r="AN199" s="4">
        <v>1</v>
      </c>
      <c r="AO199" s="197" t="s">
        <v>2300</v>
      </c>
      <c r="AP199" s="198">
        <v>231.9</v>
      </c>
      <c r="AQ199">
        <v>10</v>
      </c>
      <c r="AR199">
        <v>10</v>
      </c>
      <c r="AS199">
        <v>4</v>
      </c>
      <c r="AT199">
        <v>1.5</v>
      </c>
      <c r="AU199">
        <v>17.25</v>
      </c>
      <c r="AV199">
        <v>76</v>
      </c>
      <c r="AW199">
        <v>13.6</v>
      </c>
      <c r="AY199" s="38">
        <f t="shared" si="67"/>
        <v>198</v>
      </c>
      <c r="AZ199" s="25" t="b">
        <f t="shared" si="68"/>
        <v>0</v>
      </c>
      <c r="BA199" s="25" t="b">
        <f t="shared" si="69"/>
        <v>0</v>
      </c>
      <c r="BB199" s="25">
        <f t="shared" si="70"/>
        <v>198</v>
      </c>
      <c r="BC199" s="25" t="b">
        <f t="shared" si="71"/>
        <v>0</v>
      </c>
      <c r="BR199" s="29">
        <v>10</v>
      </c>
      <c r="BS199" s="28">
        <v>0.5</v>
      </c>
      <c r="CR199" s="44"/>
    </row>
    <row r="200" spans="36:96" ht="16.05" customHeight="1">
      <c r="AK200" s="4">
        <v>199</v>
      </c>
      <c r="AL200" s="4">
        <v>1</v>
      </c>
      <c r="AM200" s="4">
        <v>1</v>
      </c>
      <c r="AN200" s="4">
        <v>1</v>
      </c>
      <c r="AO200" s="197" t="s">
        <v>2301</v>
      </c>
      <c r="AP200" s="198">
        <v>280.39999999999998</v>
      </c>
      <c r="AQ200">
        <v>10</v>
      </c>
      <c r="AR200">
        <v>10</v>
      </c>
      <c r="AS200">
        <v>3</v>
      </c>
      <c r="AT200">
        <v>2</v>
      </c>
      <c r="AU200">
        <v>37</v>
      </c>
      <c r="AV200">
        <v>100</v>
      </c>
      <c r="AW200">
        <v>13.6</v>
      </c>
      <c r="AY200" s="38">
        <f t="shared" si="67"/>
        <v>199</v>
      </c>
      <c r="AZ200" s="25">
        <f t="shared" si="68"/>
        <v>199</v>
      </c>
      <c r="BA200" s="25">
        <f t="shared" si="69"/>
        <v>199</v>
      </c>
      <c r="BB200" s="25">
        <f t="shared" si="70"/>
        <v>199</v>
      </c>
      <c r="BC200" s="25">
        <f t="shared" si="71"/>
        <v>199</v>
      </c>
      <c r="CR200" s="44"/>
    </row>
    <row r="201" spans="36:96" ht="16.05" customHeight="1">
      <c r="AK201" s="4">
        <v>200</v>
      </c>
      <c r="AL201" s="4">
        <v>1</v>
      </c>
      <c r="AM201" s="4">
        <v>1</v>
      </c>
      <c r="AN201" s="4">
        <v>2</v>
      </c>
      <c r="AO201" s="197" t="s">
        <v>2302</v>
      </c>
      <c r="AP201" s="198">
        <v>255</v>
      </c>
      <c r="AQ201">
        <v>10</v>
      </c>
      <c r="AR201">
        <v>10</v>
      </c>
      <c r="AS201">
        <v>3</v>
      </c>
      <c r="AT201">
        <v>11</v>
      </c>
      <c r="AU201">
        <v>35.79</v>
      </c>
      <c r="AV201">
        <v>100</v>
      </c>
      <c r="AW201">
        <v>15.475</v>
      </c>
      <c r="AY201" s="38">
        <f t="shared" si="67"/>
        <v>200</v>
      </c>
      <c r="AZ201" s="25" t="b">
        <f t="shared" si="68"/>
        <v>0</v>
      </c>
      <c r="BA201" s="25">
        <f t="shared" si="69"/>
        <v>200</v>
      </c>
      <c r="BB201" s="25" t="b">
        <f t="shared" si="70"/>
        <v>0</v>
      </c>
      <c r="BC201" s="25" t="b">
        <f t="shared" si="71"/>
        <v>0</v>
      </c>
      <c r="CR201" s="44"/>
    </row>
    <row r="202" spans="36:96" ht="16.05" customHeight="1">
      <c r="AK202" s="4">
        <v>201</v>
      </c>
      <c r="AL202" s="4">
        <v>1</v>
      </c>
      <c r="AM202" s="4">
        <v>1</v>
      </c>
      <c r="AN202" s="4">
        <v>1</v>
      </c>
      <c r="AO202" s="197" t="s">
        <v>2303</v>
      </c>
      <c r="AP202" s="198">
        <v>255</v>
      </c>
      <c r="AQ202">
        <v>10</v>
      </c>
      <c r="AR202">
        <v>10</v>
      </c>
      <c r="AS202">
        <v>3</v>
      </c>
      <c r="AT202">
        <v>2</v>
      </c>
      <c r="AU202">
        <v>31</v>
      </c>
      <c r="AV202">
        <v>100</v>
      </c>
      <c r="AW202">
        <v>13.6</v>
      </c>
      <c r="AY202" s="38">
        <f t="shared" si="67"/>
        <v>201</v>
      </c>
      <c r="AZ202" s="25">
        <f t="shared" si="68"/>
        <v>201</v>
      </c>
      <c r="BA202" s="25">
        <f t="shared" si="69"/>
        <v>201</v>
      </c>
      <c r="BB202" s="25">
        <f t="shared" si="70"/>
        <v>201</v>
      </c>
      <c r="BC202" s="25">
        <f t="shared" si="71"/>
        <v>201</v>
      </c>
      <c r="CR202" s="44"/>
    </row>
    <row r="203" spans="36:96" ht="16.05" customHeight="1">
      <c r="AK203" s="4">
        <v>202</v>
      </c>
      <c r="AL203" s="4">
        <v>1</v>
      </c>
      <c r="AM203" s="4">
        <v>1</v>
      </c>
      <c r="AN203" s="4">
        <v>2</v>
      </c>
      <c r="AO203" s="197" t="s">
        <v>2304</v>
      </c>
      <c r="AP203" s="198">
        <v>255</v>
      </c>
      <c r="AQ203">
        <v>10</v>
      </c>
      <c r="AR203">
        <v>10</v>
      </c>
      <c r="AS203">
        <v>3</v>
      </c>
      <c r="AT203">
        <v>12</v>
      </c>
      <c r="AU203">
        <v>30.69</v>
      </c>
      <c r="AV203">
        <v>100</v>
      </c>
      <c r="AW203">
        <v>13.888</v>
      </c>
      <c r="AY203" s="38">
        <f t="shared" si="67"/>
        <v>202</v>
      </c>
      <c r="AZ203" s="25" t="b">
        <f t="shared" si="68"/>
        <v>0</v>
      </c>
      <c r="BA203" s="25">
        <f t="shared" si="69"/>
        <v>202</v>
      </c>
      <c r="BB203" s="25" t="b">
        <f t="shared" si="70"/>
        <v>0</v>
      </c>
      <c r="BC203" s="25" t="b">
        <f t="shared" si="71"/>
        <v>0</v>
      </c>
      <c r="CR203" s="44"/>
    </row>
    <row r="204" spans="36:96" ht="16.05" customHeight="1">
      <c r="AK204" s="4">
        <v>203</v>
      </c>
      <c r="AL204" s="4">
        <v>1</v>
      </c>
      <c r="AM204" s="4">
        <v>1</v>
      </c>
      <c r="AN204" s="4">
        <v>2</v>
      </c>
      <c r="AO204" s="197" t="s">
        <v>2305</v>
      </c>
      <c r="AP204" s="198">
        <v>231.9</v>
      </c>
      <c r="AQ204">
        <v>10</v>
      </c>
      <c r="AR204">
        <v>10</v>
      </c>
      <c r="AS204">
        <v>3</v>
      </c>
      <c r="AT204">
        <v>11</v>
      </c>
      <c r="AU204">
        <v>26.55</v>
      </c>
      <c r="AV204">
        <v>76</v>
      </c>
      <c r="AW204">
        <v>15.475</v>
      </c>
      <c r="AY204" s="38">
        <f t="shared" si="67"/>
        <v>203</v>
      </c>
      <c r="AZ204" s="25" t="b">
        <f t="shared" si="68"/>
        <v>0</v>
      </c>
      <c r="BA204" s="25">
        <f t="shared" si="69"/>
        <v>203</v>
      </c>
      <c r="BB204" s="25" t="b">
        <f t="shared" si="70"/>
        <v>0</v>
      </c>
      <c r="BC204" s="25" t="b">
        <f t="shared" si="71"/>
        <v>0</v>
      </c>
      <c r="CR204" s="44"/>
    </row>
    <row r="205" spans="36:96" ht="16.05" customHeight="1">
      <c r="AK205" s="4">
        <v>204</v>
      </c>
      <c r="AL205" s="4">
        <v>1</v>
      </c>
      <c r="AM205" s="4">
        <v>1</v>
      </c>
      <c r="AN205" s="4">
        <v>2</v>
      </c>
      <c r="AO205" s="197" t="s">
        <v>2306</v>
      </c>
      <c r="AP205" s="198">
        <v>231.9</v>
      </c>
      <c r="AQ205">
        <v>10</v>
      </c>
      <c r="AR205">
        <v>10</v>
      </c>
      <c r="AS205">
        <v>3</v>
      </c>
      <c r="AT205">
        <v>12</v>
      </c>
      <c r="AU205">
        <v>24.34</v>
      </c>
      <c r="AV205">
        <v>76</v>
      </c>
      <c r="AW205">
        <v>13.888</v>
      </c>
      <c r="AY205" s="38">
        <f t="shared" si="67"/>
        <v>204</v>
      </c>
      <c r="AZ205" s="25" t="b">
        <f t="shared" si="68"/>
        <v>0</v>
      </c>
      <c r="BA205" s="25" t="b">
        <f t="shared" si="69"/>
        <v>0</v>
      </c>
      <c r="BB205" s="25" t="b">
        <f t="shared" si="70"/>
        <v>0</v>
      </c>
      <c r="BC205" s="25" t="b">
        <f t="shared" si="71"/>
        <v>0</v>
      </c>
      <c r="CR205" s="44"/>
    </row>
    <row r="206" spans="36:96" ht="16.05" customHeight="1">
      <c r="AK206" s="4">
        <v>205</v>
      </c>
      <c r="AL206" s="4">
        <v>1</v>
      </c>
      <c r="AM206" s="4">
        <v>1</v>
      </c>
      <c r="AN206" s="4">
        <v>1</v>
      </c>
      <c r="AO206" s="197" t="s">
        <v>2307</v>
      </c>
      <c r="AP206" s="198">
        <v>231.9</v>
      </c>
      <c r="AQ206">
        <v>10</v>
      </c>
      <c r="AR206">
        <v>10</v>
      </c>
      <c r="AS206">
        <v>3</v>
      </c>
      <c r="AT206">
        <v>2</v>
      </c>
      <c r="AU206">
        <v>23</v>
      </c>
      <c r="AV206">
        <v>76</v>
      </c>
      <c r="AW206">
        <v>13.6</v>
      </c>
      <c r="AY206" s="38">
        <f t="shared" si="67"/>
        <v>205</v>
      </c>
      <c r="AZ206" s="25">
        <f t="shared" si="68"/>
        <v>205</v>
      </c>
      <c r="BA206" s="25" t="b">
        <f t="shared" si="69"/>
        <v>0</v>
      </c>
      <c r="BB206" s="25">
        <f t="shared" si="70"/>
        <v>205</v>
      </c>
      <c r="BC206" s="25" t="b">
        <f t="shared" si="71"/>
        <v>0</v>
      </c>
      <c r="CR206" s="44"/>
    </row>
    <row r="207" spans="36:96" ht="16.05" customHeight="1">
      <c r="AK207" s="4">
        <v>206</v>
      </c>
      <c r="AL207" s="4">
        <v>1</v>
      </c>
      <c r="AM207" s="4">
        <v>1</v>
      </c>
      <c r="AN207" s="4">
        <v>1</v>
      </c>
      <c r="AO207" s="197" t="s">
        <v>2308</v>
      </c>
      <c r="AP207" s="198">
        <v>308.5</v>
      </c>
      <c r="AQ207">
        <v>10</v>
      </c>
      <c r="AR207">
        <v>9</v>
      </c>
      <c r="AS207">
        <v>3</v>
      </c>
      <c r="AT207">
        <v>1.75</v>
      </c>
      <c r="AU207">
        <v>37.619999999999997</v>
      </c>
      <c r="AV207">
        <v>100</v>
      </c>
      <c r="AW207">
        <v>11.6</v>
      </c>
      <c r="AY207" s="38">
        <f t="shared" si="67"/>
        <v>206</v>
      </c>
      <c r="AZ207" s="25" t="b">
        <f t="shared" si="68"/>
        <v>0</v>
      </c>
      <c r="BA207" s="25">
        <f t="shared" si="69"/>
        <v>206</v>
      </c>
      <c r="BB207" s="25">
        <f t="shared" si="70"/>
        <v>206</v>
      </c>
      <c r="BC207" s="25" t="b">
        <f t="shared" si="71"/>
        <v>0</v>
      </c>
      <c r="CR207" s="44"/>
    </row>
    <row r="208" spans="36:96" ht="16.05" customHeight="1">
      <c r="AK208" s="4">
        <v>207</v>
      </c>
      <c r="AL208" s="4">
        <v>1</v>
      </c>
      <c r="AM208" s="4">
        <v>1</v>
      </c>
      <c r="AN208" s="4">
        <v>1</v>
      </c>
      <c r="AO208" s="197" t="s">
        <v>2309</v>
      </c>
      <c r="AP208" s="198">
        <v>280.39999999999998</v>
      </c>
      <c r="AQ208">
        <v>10</v>
      </c>
      <c r="AR208">
        <v>9</v>
      </c>
      <c r="AS208">
        <v>3</v>
      </c>
      <c r="AT208">
        <v>1.75</v>
      </c>
      <c r="AU208">
        <v>32.369999999999997</v>
      </c>
      <c r="AV208">
        <v>100</v>
      </c>
      <c r="AW208">
        <v>11.6</v>
      </c>
      <c r="AY208" s="38">
        <f t="shared" si="67"/>
        <v>207</v>
      </c>
      <c r="AZ208" s="25" t="b">
        <f t="shared" si="68"/>
        <v>0</v>
      </c>
      <c r="BA208" s="25">
        <f t="shared" si="69"/>
        <v>207</v>
      </c>
      <c r="BB208" s="25">
        <f t="shared" si="70"/>
        <v>207</v>
      </c>
      <c r="BC208" s="25" t="b">
        <f t="shared" si="71"/>
        <v>0</v>
      </c>
      <c r="CR208" s="44"/>
    </row>
    <row r="209" spans="36:96" ht="16.05" customHeight="1">
      <c r="AK209" s="4">
        <v>208</v>
      </c>
      <c r="AL209" s="4">
        <v>1</v>
      </c>
      <c r="AM209" s="4">
        <v>1</v>
      </c>
      <c r="AN209" s="4">
        <v>1</v>
      </c>
      <c r="AO209" s="197" t="s">
        <v>2310</v>
      </c>
      <c r="AP209" s="198">
        <v>255</v>
      </c>
      <c r="AQ209">
        <v>10</v>
      </c>
      <c r="AR209">
        <v>9</v>
      </c>
      <c r="AS209">
        <v>3</v>
      </c>
      <c r="AT209">
        <v>1.75</v>
      </c>
      <c r="AU209">
        <v>27.12</v>
      </c>
      <c r="AV209">
        <v>76</v>
      </c>
      <c r="AW209">
        <v>11.6</v>
      </c>
      <c r="AY209" s="38">
        <f t="shared" si="67"/>
        <v>208</v>
      </c>
      <c r="AZ209" s="25" t="b">
        <f t="shared" si="68"/>
        <v>0</v>
      </c>
      <c r="BA209" s="25">
        <f t="shared" si="69"/>
        <v>208</v>
      </c>
      <c r="BB209" s="25">
        <f t="shared" si="70"/>
        <v>208</v>
      </c>
      <c r="BC209" s="25" t="b">
        <f t="shared" si="71"/>
        <v>0</v>
      </c>
      <c r="CR209" s="44"/>
    </row>
    <row r="210" spans="36:96" ht="16.05" customHeight="1">
      <c r="AK210" s="4">
        <v>209</v>
      </c>
      <c r="AL210" s="4">
        <v>1</v>
      </c>
      <c r="AM210" s="4">
        <v>1</v>
      </c>
      <c r="AN210" s="4">
        <v>1</v>
      </c>
      <c r="AO210" s="197" t="s">
        <v>2311</v>
      </c>
      <c r="AP210" s="198">
        <v>231.9</v>
      </c>
      <c r="AQ210">
        <v>10</v>
      </c>
      <c r="AR210">
        <v>9</v>
      </c>
      <c r="AS210">
        <v>3</v>
      </c>
      <c r="AT210">
        <v>1.75</v>
      </c>
      <c r="AU210">
        <v>20.12</v>
      </c>
      <c r="AV210">
        <v>76</v>
      </c>
      <c r="AW210">
        <v>11.6</v>
      </c>
      <c r="AY210" s="38">
        <f t="shared" si="67"/>
        <v>209</v>
      </c>
      <c r="AZ210" s="25" t="b">
        <f t="shared" si="68"/>
        <v>0</v>
      </c>
      <c r="BA210" s="25" t="b">
        <f t="shared" si="69"/>
        <v>0</v>
      </c>
      <c r="BB210" s="25">
        <f t="shared" si="70"/>
        <v>209</v>
      </c>
      <c r="BC210" s="25" t="b">
        <f t="shared" si="71"/>
        <v>0</v>
      </c>
      <c r="CR210" s="44"/>
    </row>
    <row r="211" spans="36:96" ht="16.05" customHeight="1">
      <c r="AK211" s="4">
        <v>210</v>
      </c>
      <c r="AL211" s="4">
        <v>1</v>
      </c>
      <c r="AM211" s="4">
        <v>1</v>
      </c>
      <c r="AN211" s="4">
        <v>2</v>
      </c>
      <c r="AO211" s="197" t="s">
        <v>2312</v>
      </c>
      <c r="AP211" s="198">
        <v>280.39999999999998</v>
      </c>
      <c r="AQ211">
        <v>10</v>
      </c>
      <c r="AR211">
        <v>9</v>
      </c>
      <c r="AS211">
        <v>3</v>
      </c>
      <c r="AT211">
        <v>13</v>
      </c>
      <c r="AU211">
        <v>34.19</v>
      </c>
      <c r="AV211">
        <v>100</v>
      </c>
      <c r="AW211">
        <v>12.3</v>
      </c>
      <c r="AY211" s="38">
        <f t="shared" si="67"/>
        <v>210</v>
      </c>
      <c r="AZ211" s="25" t="b">
        <f t="shared" si="68"/>
        <v>0</v>
      </c>
      <c r="BA211" s="25">
        <f t="shared" si="69"/>
        <v>210</v>
      </c>
      <c r="BB211" s="25" t="b">
        <f t="shared" si="70"/>
        <v>0</v>
      </c>
      <c r="BC211" s="25" t="b">
        <f t="shared" si="71"/>
        <v>0</v>
      </c>
      <c r="CR211" s="44"/>
    </row>
    <row r="212" spans="36:96" ht="16.05" customHeight="1">
      <c r="AK212" s="4">
        <v>211</v>
      </c>
      <c r="AL212" s="4">
        <v>1</v>
      </c>
      <c r="AM212" s="4">
        <v>1</v>
      </c>
      <c r="AN212" s="4">
        <v>2</v>
      </c>
      <c r="AO212" s="197" t="s">
        <v>2313</v>
      </c>
      <c r="AP212" s="198">
        <v>182.3</v>
      </c>
      <c r="AQ212">
        <v>8</v>
      </c>
      <c r="AR212">
        <v>8</v>
      </c>
      <c r="AS212">
        <v>4</v>
      </c>
      <c r="AT212">
        <v>28</v>
      </c>
      <c r="AU212">
        <v>17.690000000000001</v>
      </c>
      <c r="AV212">
        <v>63</v>
      </c>
      <c r="AW212">
        <v>9.4</v>
      </c>
      <c r="AY212" s="38">
        <f t="shared" si="67"/>
        <v>211</v>
      </c>
      <c r="AZ212" s="25" t="b">
        <f t="shared" si="68"/>
        <v>0</v>
      </c>
      <c r="BA212" s="25" t="b">
        <f t="shared" si="69"/>
        <v>0</v>
      </c>
      <c r="BB212" s="25" t="b">
        <f t="shared" si="70"/>
        <v>0</v>
      </c>
      <c r="BC212" s="25" t="b">
        <f t="shared" si="71"/>
        <v>0</v>
      </c>
      <c r="CR212" s="44"/>
    </row>
    <row r="213" spans="36:96" ht="16.05" customHeight="1">
      <c r="AK213" s="4">
        <v>212</v>
      </c>
      <c r="AL213" s="4">
        <v>1</v>
      </c>
      <c r="AM213" s="4">
        <v>1</v>
      </c>
      <c r="AN213" s="4">
        <v>1</v>
      </c>
      <c r="AO213" s="197" t="s">
        <v>2314</v>
      </c>
      <c r="AP213" s="198">
        <v>200.6</v>
      </c>
      <c r="AQ213">
        <v>8</v>
      </c>
      <c r="AR213">
        <v>8</v>
      </c>
      <c r="AS213">
        <v>4</v>
      </c>
      <c r="AT213">
        <v>1</v>
      </c>
      <c r="AU213">
        <v>17.5</v>
      </c>
      <c r="AV213">
        <v>63</v>
      </c>
      <c r="AW213">
        <v>9.8000000000000007</v>
      </c>
      <c r="AY213" s="38">
        <f t="shared" si="67"/>
        <v>212</v>
      </c>
      <c r="AZ213" s="25" t="b">
        <f t="shared" si="68"/>
        <v>0</v>
      </c>
      <c r="BA213" s="25" t="b">
        <f t="shared" si="69"/>
        <v>0</v>
      </c>
      <c r="BB213" s="25">
        <f t="shared" si="70"/>
        <v>212</v>
      </c>
      <c r="BC213" s="25" t="b">
        <f t="shared" si="71"/>
        <v>0</v>
      </c>
      <c r="CR213" s="44"/>
    </row>
    <row r="214" spans="36:96" ht="16.05" customHeight="1">
      <c r="AJ214" t="s">
        <v>1816</v>
      </c>
      <c r="AK214" s="4">
        <v>213</v>
      </c>
      <c r="AL214" s="4">
        <v>1</v>
      </c>
      <c r="AM214" s="4">
        <v>1</v>
      </c>
      <c r="AN214" s="4">
        <v>1</v>
      </c>
      <c r="AO214" s="197" t="s">
        <v>2315</v>
      </c>
      <c r="AP214" s="198">
        <v>182.3</v>
      </c>
      <c r="AQ214">
        <v>8</v>
      </c>
      <c r="AR214">
        <v>8</v>
      </c>
      <c r="AS214">
        <v>4</v>
      </c>
      <c r="AT214">
        <v>1</v>
      </c>
      <c r="AU214">
        <v>13.5</v>
      </c>
      <c r="AV214">
        <v>63</v>
      </c>
      <c r="AW214">
        <v>9.8000000000000007</v>
      </c>
      <c r="AY214" s="38">
        <f t="shared" si="67"/>
        <v>213</v>
      </c>
      <c r="AZ214" s="25" t="b">
        <f t="shared" si="68"/>
        <v>0</v>
      </c>
      <c r="BA214" s="25" t="b">
        <f t="shared" si="69"/>
        <v>0</v>
      </c>
      <c r="BB214" s="25">
        <f t="shared" si="70"/>
        <v>213</v>
      </c>
      <c r="BC214" s="25" t="b">
        <f t="shared" si="71"/>
        <v>0</v>
      </c>
      <c r="CR214" s="44"/>
    </row>
    <row r="215" spans="36:96" ht="16.05" customHeight="1">
      <c r="AJ215" t="s">
        <v>1816</v>
      </c>
      <c r="AK215" s="4">
        <v>214</v>
      </c>
      <c r="AL215" s="4">
        <v>1</v>
      </c>
      <c r="AM215" s="4">
        <v>1</v>
      </c>
      <c r="AN215" s="4">
        <v>1</v>
      </c>
      <c r="AO215" s="197" t="s">
        <v>2316</v>
      </c>
      <c r="AP215" s="198">
        <v>165.7</v>
      </c>
      <c r="AQ215">
        <v>8</v>
      </c>
      <c r="AR215">
        <v>8</v>
      </c>
      <c r="AS215">
        <v>4</v>
      </c>
      <c r="AT215">
        <v>1</v>
      </c>
      <c r="AU215">
        <v>10.5</v>
      </c>
      <c r="AV215">
        <v>63</v>
      </c>
      <c r="AW215">
        <v>9.8000000000000007</v>
      </c>
      <c r="AY215" s="38">
        <f t="shared" si="67"/>
        <v>214</v>
      </c>
      <c r="AZ215" s="25" t="b">
        <f t="shared" si="68"/>
        <v>0</v>
      </c>
      <c r="BA215" s="25" t="b">
        <f t="shared" si="69"/>
        <v>0</v>
      </c>
      <c r="BB215" s="25">
        <f t="shared" si="70"/>
        <v>214</v>
      </c>
      <c r="BC215" s="25" t="b">
        <f t="shared" si="71"/>
        <v>0</v>
      </c>
      <c r="CR215" s="44"/>
    </row>
    <row r="216" spans="36:96" ht="16.05" customHeight="1">
      <c r="AK216" s="4">
        <v>215</v>
      </c>
      <c r="AL216" s="4">
        <v>1</v>
      </c>
      <c r="AM216" s="4">
        <v>1</v>
      </c>
      <c r="AN216" s="4">
        <v>2</v>
      </c>
      <c r="AO216" s="197" t="s">
        <v>2317</v>
      </c>
      <c r="AP216" s="198">
        <v>220.4</v>
      </c>
      <c r="AQ216">
        <v>8</v>
      </c>
      <c r="AR216">
        <v>8</v>
      </c>
      <c r="AS216">
        <v>3</v>
      </c>
      <c r="AT216">
        <v>14</v>
      </c>
      <c r="AU216">
        <v>29.94</v>
      </c>
      <c r="AV216">
        <v>76</v>
      </c>
      <c r="AW216">
        <v>10.712</v>
      </c>
      <c r="AY216" s="38">
        <f t="shared" si="67"/>
        <v>215</v>
      </c>
      <c r="AZ216" s="25" t="b">
        <f t="shared" si="68"/>
        <v>0</v>
      </c>
      <c r="BA216" s="25">
        <f t="shared" si="69"/>
        <v>215</v>
      </c>
      <c r="BB216" s="25" t="b">
        <f t="shared" si="70"/>
        <v>0</v>
      </c>
      <c r="BC216" s="25" t="b">
        <f t="shared" si="71"/>
        <v>0</v>
      </c>
      <c r="CR216" s="44"/>
    </row>
    <row r="217" spans="36:96" ht="16.05" customHeight="1">
      <c r="AK217" s="4">
        <v>216</v>
      </c>
      <c r="AL217" s="4">
        <v>1</v>
      </c>
      <c r="AM217" s="4">
        <v>1</v>
      </c>
      <c r="AN217" s="4">
        <v>2</v>
      </c>
      <c r="AO217" s="197" t="s">
        <v>2318</v>
      </c>
      <c r="AP217" s="198">
        <v>200.6</v>
      </c>
      <c r="AQ217">
        <v>8</v>
      </c>
      <c r="AR217">
        <v>8</v>
      </c>
      <c r="AS217">
        <v>3</v>
      </c>
      <c r="AT217">
        <v>13</v>
      </c>
      <c r="AU217">
        <v>28.33</v>
      </c>
      <c r="AV217">
        <v>76</v>
      </c>
      <c r="AW217">
        <v>12.3</v>
      </c>
      <c r="AY217" s="38">
        <f t="shared" si="67"/>
        <v>216</v>
      </c>
      <c r="AZ217" s="25" t="b">
        <f t="shared" si="68"/>
        <v>0</v>
      </c>
      <c r="BA217" s="25">
        <f t="shared" si="69"/>
        <v>216</v>
      </c>
      <c r="BB217" s="25" t="b">
        <f t="shared" si="70"/>
        <v>0</v>
      </c>
      <c r="BC217" s="25" t="b">
        <f t="shared" si="71"/>
        <v>0</v>
      </c>
      <c r="CR217" s="44"/>
    </row>
    <row r="218" spans="36:96" ht="16.05" customHeight="1">
      <c r="AK218" s="4">
        <v>217</v>
      </c>
      <c r="AL218" s="4">
        <v>1</v>
      </c>
      <c r="AM218" s="4">
        <v>1</v>
      </c>
      <c r="AN218" s="4">
        <v>1</v>
      </c>
      <c r="AO218" s="197" t="s">
        <v>2319</v>
      </c>
      <c r="AP218" s="198">
        <v>200.6</v>
      </c>
      <c r="AQ218">
        <v>8</v>
      </c>
      <c r="AR218">
        <v>8</v>
      </c>
      <c r="AS218">
        <v>3</v>
      </c>
      <c r="AT218">
        <v>1.75</v>
      </c>
      <c r="AU218">
        <v>27.12</v>
      </c>
      <c r="AV218">
        <v>76</v>
      </c>
      <c r="AW218">
        <v>11.6</v>
      </c>
      <c r="AY218" s="38">
        <f t="shared" si="67"/>
        <v>217</v>
      </c>
      <c r="AZ218" s="25" t="b">
        <f t="shared" si="68"/>
        <v>0</v>
      </c>
      <c r="BA218" s="25">
        <f t="shared" si="69"/>
        <v>217</v>
      </c>
      <c r="BB218" s="25">
        <f t="shared" si="70"/>
        <v>217</v>
      </c>
      <c r="BC218" s="25" t="b">
        <f t="shared" si="71"/>
        <v>0</v>
      </c>
      <c r="CR218" s="44"/>
    </row>
    <row r="219" spans="36:96" ht="16.05" customHeight="1">
      <c r="AK219" s="4">
        <v>218</v>
      </c>
      <c r="AL219" s="4">
        <v>1</v>
      </c>
      <c r="AM219" s="4">
        <v>1</v>
      </c>
      <c r="AN219" s="4">
        <v>2</v>
      </c>
      <c r="AO219" s="197" t="s">
        <v>2320</v>
      </c>
      <c r="AP219" s="198">
        <v>200.6</v>
      </c>
      <c r="AQ219">
        <v>8</v>
      </c>
      <c r="AR219">
        <v>8</v>
      </c>
      <c r="AS219">
        <v>3</v>
      </c>
      <c r="AT219">
        <v>14</v>
      </c>
      <c r="AU219">
        <v>24.49</v>
      </c>
      <c r="AV219">
        <v>76</v>
      </c>
      <c r="AW219">
        <v>10.712</v>
      </c>
      <c r="AY219" s="38">
        <f t="shared" si="67"/>
        <v>218</v>
      </c>
      <c r="AZ219" s="25" t="b">
        <f t="shared" si="68"/>
        <v>0</v>
      </c>
      <c r="BA219" s="25" t="b">
        <f t="shared" si="69"/>
        <v>0</v>
      </c>
      <c r="BB219" s="25" t="b">
        <f t="shared" si="70"/>
        <v>0</v>
      </c>
      <c r="BC219" s="25" t="b">
        <f t="shared" si="71"/>
        <v>0</v>
      </c>
      <c r="CR219" s="44"/>
    </row>
    <row r="220" spans="36:96" ht="16.05" customHeight="1">
      <c r="AK220" s="4">
        <v>219</v>
      </c>
      <c r="AL220" s="4">
        <v>1</v>
      </c>
      <c r="AM220" s="4">
        <v>1</v>
      </c>
      <c r="AN220" s="4">
        <v>2</v>
      </c>
      <c r="AO220" s="197" t="s">
        <v>2321</v>
      </c>
      <c r="AP220" s="198">
        <v>220.4</v>
      </c>
      <c r="AQ220">
        <v>8</v>
      </c>
      <c r="AR220">
        <v>8</v>
      </c>
      <c r="AS220">
        <v>3</v>
      </c>
      <c r="AT220">
        <v>20</v>
      </c>
      <c r="AU220">
        <v>23.5</v>
      </c>
      <c r="AV220">
        <v>76</v>
      </c>
      <c r="AW220">
        <v>10.712</v>
      </c>
      <c r="AY220" s="38">
        <f t="shared" si="67"/>
        <v>219</v>
      </c>
      <c r="AZ220" s="25" t="b">
        <f t="shared" si="68"/>
        <v>0</v>
      </c>
      <c r="BA220" s="25" t="b">
        <f t="shared" si="69"/>
        <v>0</v>
      </c>
      <c r="BB220" s="25" t="b">
        <f t="shared" si="70"/>
        <v>0</v>
      </c>
      <c r="BC220" s="25" t="b">
        <f t="shared" si="71"/>
        <v>0</v>
      </c>
      <c r="CR220" s="44"/>
    </row>
    <row r="221" spans="36:96" ht="16.05" customHeight="1">
      <c r="AK221" s="4">
        <v>220</v>
      </c>
      <c r="AL221" s="4">
        <v>1</v>
      </c>
      <c r="AM221" s="4">
        <v>1</v>
      </c>
      <c r="AN221" s="4">
        <v>2</v>
      </c>
      <c r="AO221" s="197" t="s">
        <v>2322</v>
      </c>
      <c r="AP221" s="198">
        <v>182.3</v>
      </c>
      <c r="AQ221">
        <v>8</v>
      </c>
      <c r="AR221">
        <v>8</v>
      </c>
      <c r="AS221">
        <v>3</v>
      </c>
      <c r="AT221">
        <v>13</v>
      </c>
      <c r="AU221">
        <v>22.47</v>
      </c>
      <c r="AV221">
        <v>76</v>
      </c>
      <c r="AW221">
        <v>12.3</v>
      </c>
      <c r="AY221" s="38">
        <f t="shared" si="67"/>
        <v>220</v>
      </c>
      <c r="AZ221" s="25" t="b">
        <f t="shared" si="68"/>
        <v>0</v>
      </c>
      <c r="BA221" s="25" t="b">
        <f t="shared" si="69"/>
        <v>0</v>
      </c>
      <c r="BB221" s="25" t="b">
        <f t="shared" si="70"/>
        <v>0</v>
      </c>
      <c r="BC221" s="25" t="b">
        <f t="shared" si="71"/>
        <v>0</v>
      </c>
      <c r="CR221" s="44"/>
    </row>
    <row r="222" spans="36:96" ht="16.05" customHeight="1">
      <c r="AK222" s="4">
        <v>221</v>
      </c>
      <c r="AL222" s="4">
        <v>1</v>
      </c>
      <c r="AM222" s="4">
        <v>1</v>
      </c>
      <c r="AN222" s="4">
        <v>1</v>
      </c>
      <c r="AO222" s="197" t="s">
        <v>2323</v>
      </c>
      <c r="AP222" s="198">
        <v>182.3</v>
      </c>
      <c r="AQ222">
        <v>8</v>
      </c>
      <c r="AR222">
        <v>8</v>
      </c>
      <c r="AS222">
        <v>3</v>
      </c>
      <c r="AT222">
        <v>1.75</v>
      </c>
      <c r="AU222">
        <v>20.12</v>
      </c>
      <c r="AV222">
        <v>76</v>
      </c>
      <c r="AW222">
        <v>11.6</v>
      </c>
      <c r="AY222" s="38">
        <f t="shared" si="67"/>
        <v>221</v>
      </c>
      <c r="AZ222" s="25" t="b">
        <f t="shared" si="68"/>
        <v>0</v>
      </c>
      <c r="BA222" s="25" t="b">
        <f t="shared" si="69"/>
        <v>0</v>
      </c>
      <c r="BB222" s="25">
        <f t="shared" si="70"/>
        <v>221</v>
      </c>
      <c r="BC222" s="25" t="b">
        <f t="shared" si="71"/>
        <v>0</v>
      </c>
      <c r="CR222" s="44"/>
    </row>
    <row r="223" spans="36:96" ht="16.05" customHeight="1">
      <c r="AK223" s="4">
        <v>222</v>
      </c>
      <c r="AL223" s="4">
        <v>1</v>
      </c>
      <c r="AM223" s="4">
        <v>1</v>
      </c>
      <c r="AN223" s="4">
        <v>2</v>
      </c>
      <c r="AO223" s="197" t="s">
        <v>2324</v>
      </c>
      <c r="AP223" s="198">
        <v>182.3</v>
      </c>
      <c r="AQ223">
        <v>8</v>
      </c>
      <c r="AR223">
        <v>8</v>
      </c>
      <c r="AS223">
        <v>3</v>
      </c>
      <c r="AT223">
        <v>14</v>
      </c>
      <c r="AU223">
        <v>19.05</v>
      </c>
      <c r="AV223">
        <v>63</v>
      </c>
      <c r="AW223">
        <v>10.712</v>
      </c>
      <c r="AY223" s="38">
        <f t="shared" si="67"/>
        <v>222</v>
      </c>
      <c r="AZ223" s="25" t="b">
        <f t="shared" si="68"/>
        <v>0</v>
      </c>
      <c r="BA223" s="25" t="b">
        <f t="shared" si="69"/>
        <v>0</v>
      </c>
      <c r="BB223" s="25" t="b">
        <f t="shared" si="70"/>
        <v>0</v>
      </c>
      <c r="BC223" s="25" t="b">
        <f t="shared" si="71"/>
        <v>0</v>
      </c>
      <c r="CR223" s="44"/>
    </row>
    <row r="224" spans="36:96" ht="16.05" customHeight="1">
      <c r="AK224" s="4">
        <v>223</v>
      </c>
      <c r="AL224" s="4">
        <v>1</v>
      </c>
      <c r="AM224" s="4">
        <v>1</v>
      </c>
      <c r="AN224" s="4">
        <v>2</v>
      </c>
      <c r="AO224" s="197" t="s">
        <v>2325</v>
      </c>
      <c r="AP224" s="198">
        <v>200.6</v>
      </c>
      <c r="AQ224">
        <v>8</v>
      </c>
      <c r="AR224">
        <v>8</v>
      </c>
      <c r="AS224">
        <v>3</v>
      </c>
      <c r="AT224">
        <v>20</v>
      </c>
      <c r="AU224">
        <v>18.41</v>
      </c>
      <c r="AV224">
        <v>63</v>
      </c>
      <c r="AW224">
        <v>10.712</v>
      </c>
      <c r="AY224" s="38">
        <f t="shared" si="67"/>
        <v>223</v>
      </c>
      <c r="AZ224" s="25" t="b">
        <f t="shared" si="68"/>
        <v>0</v>
      </c>
      <c r="BA224" s="25" t="b">
        <f t="shared" si="69"/>
        <v>0</v>
      </c>
      <c r="BB224" s="25" t="b">
        <f t="shared" si="70"/>
        <v>0</v>
      </c>
      <c r="BC224" s="25" t="b">
        <f t="shared" si="71"/>
        <v>0</v>
      </c>
      <c r="CR224" s="44"/>
    </row>
    <row r="225" spans="37:96" ht="16.05" customHeight="1">
      <c r="AK225" s="4">
        <v>224</v>
      </c>
      <c r="AL225" s="4">
        <v>1</v>
      </c>
      <c r="AM225" s="4">
        <v>1</v>
      </c>
      <c r="AN225" s="4">
        <v>2</v>
      </c>
      <c r="AO225" s="197" t="s">
        <v>2326</v>
      </c>
      <c r="AP225" s="198">
        <v>220.4</v>
      </c>
      <c r="AQ225">
        <v>8</v>
      </c>
      <c r="AR225">
        <v>7</v>
      </c>
      <c r="AS225">
        <v>3</v>
      </c>
      <c r="AT225">
        <v>16</v>
      </c>
      <c r="AU225">
        <v>26.19</v>
      </c>
      <c r="AV225">
        <v>76</v>
      </c>
      <c r="AW225">
        <v>9.3249999999999993</v>
      </c>
      <c r="AY225" s="38">
        <f t="shared" si="67"/>
        <v>224</v>
      </c>
      <c r="AZ225" s="25" t="b">
        <f t="shared" si="68"/>
        <v>0</v>
      </c>
      <c r="BA225" s="25">
        <f t="shared" si="69"/>
        <v>224</v>
      </c>
      <c r="BB225" s="25" t="b">
        <f t="shared" si="70"/>
        <v>0</v>
      </c>
      <c r="BC225" s="25" t="b">
        <f t="shared" si="71"/>
        <v>0</v>
      </c>
      <c r="CR225" s="44"/>
    </row>
    <row r="226" spans="37:96" ht="16.05" customHeight="1">
      <c r="AK226" s="4">
        <v>225</v>
      </c>
      <c r="AL226" s="4">
        <v>1</v>
      </c>
      <c r="AM226" s="4">
        <v>1</v>
      </c>
      <c r="AN226" s="4">
        <v>2</v>
      </c>
      <c r="AO226" s="197" t="s">
        <v>2327</v>
      </c>
      <c r="AP226" s="198">
        <v>220.4</v>
      </c>
      <c r="AQ226">
        <v>8</v>
      </c>
      <c r="AR226">
        <v>7.6</v>
      </c>
      <c r="AS226">
        <v>3</v>
      </c>
      <c r="AT226">
        <v>24</v>
      </c>
      <c r="AU226">
        <v>20.64</v>
      </c>
      <c r="AV226">
        <v>76</v>
      </c>
      <c r="AW226">
        <v>9.3249999999999993</v>
      </c>
      <c r="AY226" s="38">
        <f t="shared" si="67"/>
        <v>225</v>
      </c>
      <c r="AZ226" s="25" t="b">
        <f t="shared" si="68"/>
        <v>0</v>
      </c>
      <c r="BA226" s="25" t="b">
        <f t="shared" si="69"/>
        <v>0</v>
      </c>
      <c r="BB226" s="25" t="b">
        <f t="shared" si="70"/>
        <v>0</v>
      </c>
      <c r="BC226" s="25" t="b">
        <f t="shared" si="71"/>
        <v>0</v>
      </c>
      <c r="CR226" s="44"/>
    </row>
    <row r="227" spans="37:96" ht="16.05" customHeight="1">
      <c r="AK227" s="4">
        <v>226</v>
      </c>
      <c r="AL227" s="4">
        <v>1</v>
      </c>
      <c r="AM227" s="4">
        <v>1</v>
      </c>
      <c r="AN227" s="4">
        <v>2</v>
      </c>
      <c r="AO227" s="197" t="s">
        <v>2328</v>
      </c>
      <c r="AP227" s="198">
        <v>200.6</v>
      </c>
      <c r="AQ227">
        <v>8</v>
      </c>
      <c r="AR227">
        <v>7.6</v>
      </c>
      <c r="AS227">
        <v>3</v>
      </c>
      <c r="AT227">
        <v>24</v>
      </c>
      <c r="AU227">
        <v>15.35</v>
      </c>
      <c r="AV227">
        <v>63</v>
      </c>
      <c r="AW227">
        <v>9.3249999999999993</v>
      </c>
      <c r="AY227" s="38">
        <f t="shared" si="67"/>
        <v>226</v>
      </c>
      <c r="AZ227" s="25" t="b">
        <f t="shared" si="68"/>
        <v>0</v>
      </c>
      <c r="BA227" s="25" t="b">
        <f t="shared" si="69"/>
        <v>0</v>
      </c>
      <c r="BB227" s="25" t="b">
        <f t="shared" si="70"/>
        <v>0</v>
      </c>
      <c r="BC227" s="25" t="b">
        <f t="shared" si="71"/>
        <v>0</v>
      </c>
      <c r="CR227" s="44"/>
    </row>
    <row r="228" spans="37:96" ht="16.05" customHeight="1">
      <c r="AK228" s="4">
        <v>227</v>
      </c>
      <c r="AL228" s="4">
        <v>1</v>
      </c>
      <c r="AM228" s="4">
        <v>1</v>
      </c>
      <c r="AN228" s="4">
        <v>1</v>
      </c>
      <c r="AO228" s="197" t="s">
        <v>2329</v>
      </c>
      <c r="AP228" s="198">
        <v>242.6</v>
      </c>
      <c r="AQ228">
        <v>8</v>
      </c>
      <c r="AR228">
        <v>7.5</v>
      </c>
      <c r="AS228">
        <v>3</v>
      </c>
      <c r="AT228">
        <v>1.5</v>
      </c>
      <c r="AU228">
        <v>32.25</v>
      </c>
      <c r="AV228">
        <v>76</v>
      </c>
      <c r="AW228">
        <v>9.6</v>
      </c>
      <c r="AY228" s="38">
        <f t="shared" si="67"/>
        <v>227</v>
      </c>
      <c r="AZ228" s="25" t="b">
        <f t="shared" si="68"/>
        <v>0</v>
      </c>
      <c r="BA228" s="25">
        <f t="shared" si="69"/>
        <v>227</v>
      </c>
      <c r="BB228" s="25">
        <f t="shared" si="70"/>
        <v>227</v>
      </c>
      <c r="BC228" s="25" t="b">
        <f t="shared" si="71"/>
        <v>0</v>
      </c>
      <c r="CR228" s="44"/>
    </row>
    <row r="229" spans="37:96" ht="16.05" customHeight="1">
      <c r="AK229" s="4">
        <v>228</v>
      </c>
      <c r="AL229" s="4">
        <v>1</v>
      </c>
      <c r="AM229" s="4">
        <v>1</v>
      </c>
      <c r="AN229" s="4">
        <v>1</v>
      </c>
      <c r="AO229" s="197" t="s">
        <v>2330</v>
      </c>
      <c r="AP229" s="198">
        <v>220.4</v>
      </c>
      <c r="AQ229">
        <v>8</v>
      </c>
      <c r="AR229">
        <v>7.5</v>
      </c>
      <c r="AS229">
        <v>3</v>
      </c>
      <c r="AT229">
        <v>1.5</v>
      </c>
      <c r="AU229">
        <v>27.75</v>
      </c>
      <c r="AV229">
        <v>76</v>
      </c>
      <c r="AW229">
        <v>9.6</v>
      </c>
      <c r="AY229" s="38">
        <f t="shared" si="67"/>
        <v>228</v>
      </c>
      <c r="AZ229" s="25" t="b">
        <f t="shared" si="68"/>
        <v>0</v>
      </c>
      <c r="BA229" s="25">
        <f t="shared" si="69"/>
        <v>228</v>
      </c>
      <c r="BB229" s="25">
        <f t="shared" si="70"/>
        <v>228</v>
      </c>
      <c r="BC229" s="25" t="b">
        <f t="shared" si="71"/>
        <v>0</v>
      </c>
      <c r="CR229" s="44"/>
    </row>
    <row r="230" spans="37:96" ht="16.05" customHeight="1">
      <c r="AK230" s="4">
        <v>229</v>
      </c>
      <c r="AL230" s="4">
        <v>1</v>
      </c>
      <c r="AM230" s="4">
        <v>1</v>
      </c>
      <c r="AN230" s="4">
        <v>1</v>
      </c>
      <c r="AO230" s="197" t="s">
        <v>2331</v>
      </c>
      <c r="AP230" s="198">
        <v>200.6</v>
      </c>
      <c r="AQ230">
        <v>8</v>
      </c>
      <c r="AR230">
        <v>7.5</v>
      </c>
      <c r="AS230">
        <v>3</v>
      </c>
      <c r="AT230">
        <v>1.5</v>
      </c>
      <c r="AU230">
        <v>21.75</v>
      </c>
      <c r="AV230">
        <v>76</v>
      </c>
      <c r="AW230">
        <v>9.6</v>
      </c>
      <c r="AY230" s="38">
        <f t="shared" si="67"/>
        <v>229</v>
      </c>
      <c r="AZ230" s="25" t="b">
        <f t="shared" si="68"/>
        <v>0</v>
      </c>
      <c r="BA230" s="25" t="b">
        <f t="shared" si="69"/>
        <v>0</v>
      </c>
      <c r="BB230" s="25">
        <f t="shared" si="70"/>
        <v>229</v>
      </c>
      <c r="BC230" s="25" t="b">
        <f t="shared" si="71"/>
        <v>0</v>
      </c>
      <c r="CR230" s="44"/>
    </row>
    <row r="231" spans="37:96" ht="16.05" customHeight="1">
      <c r="AK231" s="4">
        <v>230</v>
      </c>
      <c r="AL231" s="4">
        <v>1</v>
      </c>
      <c r="AM231" s="4">
        <v>1</v>
      </c>
      <c r="AN231" s="4">
        <v>1</v>
      </c>
      <c r="AO231" s="197" t="s">
        <v>2332</v>
      </c>
      <c r="AP231" s="198">
        <v>182.3</v>
      </c>
      <c r="AQ231">
        <v>8</v>
      </c>
      <c r="AR231">
        <v>7.5</v>
      </c>
      <c r="AS231">
        <v>3</v>
      </c>
      <c r="AT231">
        <v>1.5</v>
      </c>
      <c r="AU231">
        <v>17.25</v>
      </c>
      <c r="AV231">
        <v>63</v>
      </c>
      <c r="AW231">
        <v>9.6</v>
      </c>
      <c r="AY231" s="38">
        <f t="shared" si="67"/>
        <v>230</v>
      </c>
      <c r="AZ231" s="25" t="b">
        <f t="shared" si="68"/>
        <v>0</v>
      </c>
      <c r="BA231" s="25" t="b">
        <f t="shared" si="69"/>
        <v>0</v>
      </c>
      <c r="BB231" s="25">
        <f t="shared" si="70"/>
        <v>230</v>
      </c>
      <c r="BC231" s="25" t="b">
        <f t="shared" si="71"/>
        <v>0</v>
      </c>
      <c r="CR231" s="44"/>
    </row>
    <row r="232" spans="37:96" ht="16.05" customHeight="1">
      <c r="AK232" s="4">
        <v>231</v>
      </c>
      <c r="AL232" s="4">
        <v>1</v>
      </c>
      <c r="AM232" s="4">
        <v>1</v>
      </c>
      <c r="AN232" s="4">
        <v>2</v>
      </c>
      <c r="AO232" s="197" t="s">
        <v>2333</v>
      </c>
      <c r="AP232" s="198">
        <v>144.1</v>
      </c>
      <c r="AQ232">
        <v>6</v>
      </c>
      <c r="AR232">
        <v>6</v>
      </c>
      <c r="AS232">
        <v>4</v>
      </c>
      <c r="AT232">
        <v>32</v>
      </c>
      <c r="AU232">
        <v>13.1</v>
      </c>
      <c r="AV232">
        <v>63</v>
      </c>
      <c r="AW232">
        <v>7.2</v>
      </c>
      <c r="AY232" s="38">
        <f t="shared" si="67"/>
        <v>231</v>
      </c>
      <c r="AZ232" s="25" t="b">
        <f t="shared" si="68"/>
        <v>0</v>
      </c>
      <c r="BA232" s="25" t="b">
        <f t="shared" si="69"/>
        <v>0</v>
      </c>
      <c r="BB232" s="25" t="b">
        <f t="shared" si="70"/>
        <v>0</v>
      </c>
      <c r="BC232" s="25" t="b">
        <f t="shared" si="71"/>
        <v>0</v>
      </c>
      <c r="CR232" s="44"/>
    </row>
    <row r="233" spans="37:96" ht="16.05" customHeight="1">
      <c r="AK233" s="4">
        <v>232</v>
      </c>
      <c r="AL233" s="4">
        <v>1</v>
      </c>
      <c r="AM233" s="4">
        <v>1</v>
      </c>
      <c r="AN233" s="4">
        <v>1</v>
      </c>
      <c r="AO233" s="197" t="s">
        <v>2334</v>
      </c>
      <c r="AP233" s="198">
        <v>191.7</v>
      </c>
      <c r="AQ233">
        <v>6</v>
      </c>
      <c r="AR233">
        <v>6</v>
      </c>
      <c r="AS233">
        <v>3</v>
      </c>
      <c r="AT233">
        <v>1.25</v>
      </c>
      <c r="AU233">
        <v>25.62</v>
      </c>
      <c r="AV233">
        <v>76</v>
      </c>
      <c r="AW233">
        <v>7.8</v>
      </c>
      <c r="AY233" s="38">
        <f t="shared" si="67"/>
        <v>232</v>
      </c>
      <c r="AZ233" s="25" t="b">
        <f t="shared" si="68"/>
        <v>0</v>
      </c>
      <c r="BA233" s="25">
        <f t="shared" si="69"/>
        <v>232</v>
      </c>
      <c r="BB233" s="25">
        <f t="shared" si="70"/>
        <v>232</v>
      </c>
      <c r="BC233" s="25" t="b">
        <f t="shared" si="71"/>
        <v>0</v>
      </c>
      <c r="CR233" s="44"/>
    </row>
    <row r="234" spans="37:96" ht="16.05" customHeight="1">
      <c r="AK234" s="4">
        <v>233</v>
      </c>
      <c r="AL234" s="4">
        <v>1</v>
      </c>
      <c r="AM234" s="4">
        <v>1</v>
      </c>
      <c r="AN234" s="4">
        <v>2</v>
      </c>
      <c r="AO234" s="197" t="s">
        <v>2335</v>
      </c>
      <c r="AP234" s="198">
        <v>158.5</v>
      </c>
      <c r="AQ234">
        <v>6</v>
      </c>
      <c r="AR234">
        <v>6</v>
      </c>
      <c r="AS234">
        <v>3</v>
      </c>
      <c r="AT234">
        <v>16</v>
      </c>
      <c r="AU234">
        <v>21.43</v>
      </c>
      <c r="AV234">
        <v>63</v>
      </c>
      <c r="AW234">
        <v>9.3249999999999993</v>
      </c>
      <c r="AY234" s="38">
        <f t="shared" si="67"/>
        <v>233</v>
      </c>
      <c r="AZ234" s="25" t="b">
        <f t="shared" si="68"/>
        <v>0</v>
      </c>
      <c r="BA234" s="25" t="b">
        <f t="shared" si="69"/>
        <v>0</v>
      </c>
      <c r="BB234" s="25" t="b">
        <f t="shared" si="70"/>
        <v>0</v>
      </c>
      <c r="BC234" s="25" t="b">
        <f t="shared" si="71"/>
        <v>0</v>
      </c>
      <c r="CR234" s="44"/>
    </row>
    <row r="235" spans="37:96" ht="16.05" customHeight="1">
      <c r="AK235" s="4">
        <v>234</v>
      </c>
      <c r="AL235" s="4">
        <v>1</v>
      </c>
      <c r="AM235" s="4">
        <v>1</v>
      </c>
      <c r="AN235" s="4">
        <v>1</v>
      </c>
      <c r="AO235" s="197" t="s">
        <v>2336</v>
      </c>
      <c r="AP235" s="198">
        <v>174.3</v>
      </c>
      <c r="AQ235">
        <v>6</v>
      </c>
      <c r="AR235">
        <v>6</v>
      </c>
      <c r="AS235">
        <v>3</v>
      </c>
      <c r="AT235">
        <v>1.25</v>
      </c>
      <c r="AU235">
        <v>21.87</v>
      </c>
      <c r="AV235">
        <v>63</v>
      </c>
      <c r="AW235">
        <v>7.8</v>
      </c>
      <c r="AY235" s="38">
        <f t="shared" si="67"/>
        <v>234</v>
      </c>
      <c r="AZ235" s="25" t="b">
        <f t="shared" si="68"/>
        <v>0</v>
      </c>
      <c r="BA235" s="25" t="b">
        <f t="shared" si="69"/>
        <v>0</v>
      </c>
      <c r="BB235" s="25">
        <f t="shared" si="70"/>
        <v>234</v>
      </c>
      <c r="BC235" s="25" t="b">
        <f t="shared" si="71"/>
        <v>0</v>
      </c>
      <c r="CR235" s="44"/>
    </row>
    <row r="236" spans="37:96" ht="16.05" customHeight="1">
      <c r="AK236" s="4">
        <v>235</v>
      </c>
      <c r="AL236" s="4">
        <v>1</v>
      </c>
      <c r="AM236" s="4">
        <v>1</v>
      </c>
      <c r="AN236" s="4">
        <v>1</v>
      </c>
      <c r="AO236" s="197" t="s">
        <v>2337</v>
      </c>
      <c r="AP236" s="198">
        <v>158.5</v>
      </c>
      <c r="AQ236">
        <v>6</v>
      </c>
      <c r="AR236">
        <v>6</v>
      </c>
      <c r="AS236">
        <v>3</v>
      </c>
      <c r="AT236">
        <v>1.25</v>
      </c>
      <c r="AU236">
        <v>18.12</v>
      </c>
      <c r="AV236">
        <v>63</v>
      </c>
      <c r="AW236">
        <v>7.8</v>
      </c>
      <c r="AY236" s="38">
        <f t="shared" si="67"/>
        <v>235</v>
      </c>
      <c r="AZ236" s="25" t="b">
        <f t="shared" si="68"/>
        <v>0</v>
      </c>
      <c r="BA236" s="25" t="b">
        <f t="shared" si="69"/>
        <v>0</v>
      </c>
      <c r="BB236" s="25">
        <f t="shared" si="70"/>
        <v>235</v>
      </c>
      <c r="BC236" s="25" t="b">
        <f t="shared" si="71"/>
        <v>0</v>
      </c>
      <c r="CR236" s="44"/>
    </row>
    <row r="237" spans="37:96" ht="16.05" customHeight="1">
      <c r="AK237" s="4">
        <v>236</v>
      </c>
      <c r="AL237" s="4">
        <v>1</v>
      </c>
      <c r="AM237" s="4">
        <v>1</v>
      </c>
      <c r="AN237" s="4">
        <v>2</v>
      </c>
      <c r="AO237" s="197" t="s">
        <v>2338</v>
      </c>
      <c r="AP237" s="198">
        <v>174.3</v>
      </c>
      <c r="AQ237">
        <v>6</v>
      </c>
      <c r="AR237">
        <v>6</v>
      </c>
      <c r="AS237">
        <v>3</v>
      </c>
      <c r="AT237">
        <v>24</v>
      </c>
      <c r="AU237">
        <v>17.46</v>
      </c>
      <c r="AV237">
        <v>63</v>
      </c>
      <c r="AW237">
        <v>7.7380000000000004</v>
      </c>
      <c r="AY237" s="38">
        <f t="shared" si="67"/>
        <v>236</v>
      </c>
      <c r="AZ237" s="25" t="b">
        <f t="shared" si="68"/>
        <v>0</v>
      </c>
      <c r="BA237" s="25" t="b">
        <f t="shared" si="69"/>
        <v>0</v>
      </c>
      <c r="BB237" s="25" t="b">
        <f t="shared" si="70"/>
        <v>0</v>
      </c>
      <c r="BC237" s="25" t="b">
        <f t="shared" si="71"/>
        <v>0</v>
      </c>
      <c r="CR237" s="44"/>
    </row>
    <row r="238" spans="37:96" ht="16.05" customHeight="1">
      <c r="AK238" s="4">
        <v>237</v>
      </c>
      <c r="AL238" s="4">
        <v>1</v>
      </c>
      <c r="AM238" s="4">
        <v>1</v>
      </c>
      <c r="AN238" s="4">
        <v>2</v>
      </c>
      <c r="AO238" s="197" t="s">
        <v>2339</v>
      </c>
      <c r="AP238" s="198">
        <v>144.1</v>
      </c>
      <c r="AQ238">
        <v>6</v>
      </c>
      <c r="AR238">
        <v>6</v>
      </c>
      <c r="AS238">
        <v>3</v>
      </c>
      <c r="AT238">
        <v>16</v>
      </c>
      <c r="AU238">
        <v>16.670000000000002</v>
      </c>
      <c r="AV238">
        <v>63</v>
      </c>
      <c r="AW238">
        <v>9.3249999999999993</v>
      </c>
      <c r="AY238" s="38">
        <f t="shared" si="67"/>
        <v>237</v>
      </c>
      <c r="AZ238" s="25" t="b">
        <f t="shared" si="68"/>
        <v>0</v>
      </c>
      <c r="BA238" s="25" t="b">
        <f t="shared" si="69"/>
        <v>0</v>
      </c>
      <c r="BB238" s="25" t="b">
        <f t="shared" si="70"/>
        <v>0</v>
      </c>
      <c r="BC238" s="25" t="b">
        <f t="shared" si="71"/>
        <v>0</v>
      </c>
      <c r="CR238" s="44"/>
    </row>
    <row r="239" spans="37:96" ht="16.05" customHeight="1">
      <c r="AK239" s="4">
        <v>238</v>
      </c>
      <c r="AL239" s="4">
        <v>1</v>
      </c>
      <c r="AM239" s="4">
        <v>1</v>
      </c>
      <c r="AN239" s="4">
        <v>1</v>
      </c>
      <c r="AO239" s="197" t="s">
        <v>2340</v>
      </c>
      <c r="AP239" s="198">
        <v>144.1</v>
      </c>
      <c r="AQ239">
        <v>6</v>
      </c>
      <c r="AR239">
        <v>6</v>
      </c>
      <c r="AS239">
        <v>3</v>
      </c>
      <c r="AT239">
        <v>1.25</v>
      </c>
      <c r="AU239">
        <v>14.37</v>
      </c>
      <c r="AV239">
        <v>63</v>
      </c>
      <c r="AW239">
        <v>7.8</v>
      </c>
      <c r="AY239" s="38">
        <f t="shared" si="67"/>
        <v>238</v>
      </c>
      <c r="AZ239" s="25" t="b">
        <f t="shared" si="68"/>
        <v>0</v>
      </c>
      <c r="BA239" s="25" t="b">
        <f t="shared" si="69"/>
        <v>0</v>
      </c>
      <c r="BB239" s="25">
        <f t="shared" si="70"/>
        <v>238</v>
      </c>
      <c r="BC239" s="25" t="b">
        <f t="shared" si="71"/>
        <v>0</v>
      </c>
      <c r="CR239" s="44"/>
    </row>
    <row r="240" spans="37:96" ht="16.05" customHeight="1">
      <c r="AK240" s="4">
        <v>239</v>
      </c>
      <c r="AL240" s="4">
        <v>1</v>
      </c>
      <c r="AM240" s="4">
        <v>1</v>
      </c>
      <c r="AN240" s="4">
        <v>2</v>
      </c>
      <c r="AO240" s="197" t="s">
        <v>2341</v>
      </c>
      <c r="AP240" s="198">
        <v>158.5</v>
      </c>
      <c r="AQ240">
        <v>6</v>
      </c>
      <c r="AR240">
        <v>6</v>
      </c>
      <c r="AS240">
        <v>3</v>
      </c>
      <c r="AT240">
        <v>24</v>
      </c>
      <c r="AU240">
        <v>13.23</v>
      </c>
      <c r="AV240">
        <v>63</v>
      </c>
      <c r="AW240">
        <v>7.7380000000000004</v>
      </c>
      <c r="AY240" s="38">
        <f t="shared" si="67"/>
        <v>239</v>
      </c>
      <c r="AZ240" s="25" t="b">
        <f t="shared" si="68"/>
        <v>0</v>
      </c>
      <c r="BA240" s="25" t="b">
        <f t="shared" si="69"/>
        <v>0</v>
      </c>
      <c r="BB240" s="25" t="b">
        <f t="shared" si="70"/>
        <v>0</v>
      </c>
      <c r="BC240" s="25" t="b">
        <f t="shared" si="71"/>
        <v>0</v>
      </c>
      <c r="CR240" s="44"/>
    </row>
    <row r="241" spans="36:96" ht="16.05" customHeight="1">
      <c r="AK241" s="4">
        <v>240</v>
      </c>
      <c r="AL241" s="4">
        <v>1</v>
      </c>
      <c r="AM241" s="4">
        <v>1</v>
      </c>
      <c r="AN241" s="4">
        <v>1</v>
      </c>
      <c r="AO241" s="197" t="s">
        <v>2342</v>
      </c>
      <c r="AP241" s="198">
        <v>158.5</v>
      </c>
      <c r="AQ241">
        <v>6</v>
      </c>
      <c r="AR241">
        <v>6</v>
      </c>
      <c r="AS241">
        <v>3</v>
      </c>
      <c r="AT241">
        <v>1</v>
      </c>
      <c r="AU241">
        <v>13.5</v>
      </c>
      <c r="AV241">
        <v>63</v>
      </c>
      <c r="AW241">
        <v>7.8</v>
      </c>
      <c r="AY241" s="38">
        <f t="shared" si="67"/>
        <v>240</v>
      </c>
      <c r="AZ241" s="25" t="b">
        <f t="shared" si="68"/>
        <v>0</v>
      </c>
      <c r="BA241" s="25" t="b">
        <f t="shared" si="69"/>
        <v>0</v>
      </c>
      <c r="BB241" s="25">
        <f t="shared" si="70"/>
        <v>240</v>
      </c>
      <c r="BC241" s="25" t="b">
        <f t="shared" si="71"/>
        <v>0</v>
      </c>
      <c r="CR241" s="44"/>
    </row>
    <row r="242" spans="36:96" ht="16.05" customHeight="1">
      <c r="AJ242" t="s">
        <v>1816</v>
      </c>
      <c r="AK242" s="4">
        <v>241</v>
      </c>
      <c r="AL242" s="4">
        <v>1</v>
      </c>
      <c r="AM242" s="4">
        <v>1</v>
      </c>
      <c r="AN242" s="4">
        <v>1</v>
      </c>
      <c r="AO242" s="197" t="s">
        <v>2343</v>
      </c>
      <c r="AP242" s="198">
        <v>144.1</v>
      </c>
      <c r="AQ242">
        <v>6</v>
      </c>
      <c r="AR242">
        <v>6</v>
      </c>
      <c r="AS242">
        <v>3</v>
      </c>
      <c r="AT242">
        <v>1</v>
      </c>
      <c r="AU242">
        <v>10.5</v>
      </c>
      <c r="AV242">
        <v>63</v>
      </c>
      <c r="AW242">
        <v>7.8</v>
      </c>
      <c r="AY242" s="38">
        <f t="shared" si="67"/>
        <v>241</v>
      </c>
      <c r="AZ242" s="25" t="b">
        <f t="shared" si="68"/>
        <v>0</v>
      </c>
      <c r="BA242" s="25" t="b">
        <f t="shared" si="69"/>
        <v>0</v>
      </c>
      <c r="BB242" s="25">
        <f t="shared" si="70"/>
        <v>241</v>
      </c>
      <c r="BC242" s="25" t="b">
        <f t="shared" si="71"/>
        <v>0</v>
      </c>
      <c r="CR242" s="44"/>
    </row>
    <row r="243" spans="36:96" ht="16.05" customHeight="1">
      <c r="AK243" s="4">
        <v>242</v>
      </c>
      <c r="AL243" s="4">
        <v>1</v>
      </c>
      <c r="AM243" s="4">
        <v>1</v>
      </c>
      <c r="AN243" s="4">
        <v>2</v>
      </c>
      <c r="AO243" s="197" t="s">
        <v>2344</v>
      </c>
      <c r="AP243" s="198">
        <v>174.3</v>
      </c>
      <c r="AQ243">
        <v>6</v>
      </c>
      <c r="AR243">
        <v>5</v>
      </c>
      <c r="AS243">
        <v>3</v>
      </c>
      <c r="AT243">
        <v>28</v>
      </c>
      <c r="AU243">
        <v>14.06</v>
      </c>
      <c r="AV243">
        <v>63</v>
      </c>
      <c r="AW243">
        <v>6.15</v>
      </c>
      <c r="AY243" s="38">
        <f t="shared" si="67"/>
        <v>242</v>
      </c>
      <c r="AZ243" s="25" t="b">
        <f t="shared" si="68"/>
        <v>0</v>
      </c>
      <c r="BA243" s="25" t="b">
        <f t="shared" si="69"/>
        <v>0</v>
      </c>
      <c r="BB243" s="25" t="b">
        <f t="shared" si="70"/>
        <v>0</v>
      </c>
      <c r="BC243" s="25" t="b">
        <f t="shared" si="71"/>
        <v>0</v>
      </c>
      <c r="CR243" s="44"/>
    </row>
    <row r="244" spans="36:96" ht="16.05" customHeight="1">
      <c r="AK244" s="4">
        <v>243</v>
      </c>
      <c r="AL244" s="4">
        <v>1</v>
      </c>
      <c r="AM244" s="4">
        <v>1</v>
      </c>
      <c r="AN244" s="4">
        <v>2</v>
      </c>
      <c r="AO244" s="197" t="s">
        <v>2345</v>
      </c>
      <c r="AP244" s="198">
        <v>158.5</v>
      </c>
      <c r="AQ244">
        <v>6</v>
      </c>
      <c r="AR244">
        <v>5</v>
      </c>
      <c r="AS244">
        <v>3</v>
      </c>
      <c r="AT244">
        <v>28</v>
      </c>
      <c r="AU244">
        <v>10.43</v>
      </c>
      <c r="AV244">
        <v>63</v>
      </c>
      <c r="AW244">
        <v>6.15</v>
      </c>
      <c r="AY244" s="38">
        <f t="shared" si="67"/>
        <v>243</v>
      </c>
      <c r="AZ244" s="25" t="b">
        <f t="shared" si="68"/>
        <v>0</v>
      </c>
      <c r="BA244" s="25" t="b">
        <f t="shared" si="69"/>
        <v>0</v>
      </c>
      <c r="BB244" s="25" t="b">
        <f t="shared" si="70"/>
        <v>0</v>
      </c>
      <c r="BC244" s="25" t="b">
        <f t="shared" si="71"/>
        <v>0</v>
      </c>
      <c r="CR244" s="44"/>
    </row>
    <row r="245" spans="36:96" ht="16.05" customHeight="1">
      <c r="AK245" s="4">
        <v>244</v>
      </c>
      <c r="AL245" s="4">
        <v>1</v>
      </c>
      <c r="AM245" s="4">
        <v>1</v>
      </c>
      <c r="AN245" s="4">
        <v>2</v>
      </c>
      <c r="AO245" s="197" t="s">
        <v>2346</v>
      </c>
      <c r="AP245" s="198">
        <v>174.3</v>
      </c>
      <c r="AQ245">
        <v>6</v>
      </c>
      <c r="AR245">
        <v>5.8</v>
      </c>
      <c r="AS245">
        <v>3</v>
      </c>
      <c r="AT245">
        <v>18</v>
      </c>
      <c r="AU245">
        <v>21.87</v>
      </c>
      <c r="AV245">
        <v>63</v>
      </c>
      <c r="AW245">
        <v>7.7380000000000004</v>
      </c>
      <c r="AY245" s="38">
        <f t="shared" si="67"/>
        <v>244</v>
      </c>
      <c r="AZ245" s="25" t="b">
        <f t="shared" si="68"/>
        <v>0</v>
      </c>
      <c r="BA245" s="25" t="b">
        <f t="shared" si="69"/>
        <v>0</v>
      </c>
      <c r="BB245" s="25" t="b">
        <f t="shared" si="70"/>
        <v>0</v>
      </c>
      <c r="BC245" s="25" t="b">
        <f t="shared" si="71"/>
        <v>0</v>
      </c>
      <c r="CR245" s="44"/>
    </row>
    <row r="246" spans="36:96" ht="16.05" customHeight="1">
      <c r="AK246" s="4">
        <v>245</v>
      </c>
      <c r="AL246" s="4">
        <v>1</v>
      </c>
      <c r="AM246" s="4">
        <v>1</v>
      </c>
      <c r="AN246" s="4">
        <v>2</v>
      </c>
      <c r="AO246" s="197" t="s">
        <v>2347</v>
      </c>
      <c r="AP246" s="198">
        <v>158.5</v>
      </c>
      <c r="AQ246">
        <v>6</v>
      </c>
      <c r="AR246">
        <v>5.8</v>
      </c>
      <c r="AS246">
        <v>3</v>
      </c>
      <c r="AT246">
        <v>18</v>
      </c>
      <c r="AU246">
        <v>17.64</v>
      </c>
      <c r="AV246">
        <v>63</v>
      </c>
      <c r="AW246">
        <v>7.7380000000000004</v>
      </c>
      <c r="AY246" s="38">
        <f t="shared" si="67"/>
        <v>245</v>
      </c>
      <c r="AZ246" s="25" t="b">
        <f t="shared" si="68"/>
        <v>0</v>
      </c>
      <c r="BA246" s="25" t="b">
        <f t="shared" si="69"/>
        <v>0</v>
      </c>
      <c r="BB246" s="25" t="b">
        <f t="shared" si="70"/>
        <v>0</v>
      </c>
      <c r="BC246" s="25" t="b">
        <f t="shared" si="71"/>
        <v>0</v>
      </c>
      <c r="CR246" s="44"/>
    </row>
    <row r="247" spans="36:96" ht="16.05" customHeight="1">
      <c r="AK247" s="4">
        <v>246</v>
      </c>
      <c r="AL247" s="4">
        <v>1</v>
      </c>
      <c r="AM247" s="4">
        <v>1</v>
      </c>
      <c r="AN247" s="4">
        <v>2</v>
      </c>
      <c r="AO247" s="197" t="s">
        <v>2348</v>
      </c>
      <c r="AP247" s="198">
        <v>144.1</v>
      </c>
      <c r="AQ247">
        <v>6</v>
      </c>
      <c r="AR247">
        <v>5.8</v>
      </c>
      <c r="AS247">
        <v>3</v>
      </c>
      <c r="AT247">
        <v>18</v>
      </c>
      <c r="AU247">
        <v>13.41</v>
      </c>
      <c r="AV247">
        <v>63</v>
      </c>
      <c r="AW247">
        <v>7.7380000000000004</v>
      </c>
      <c r="AY247" s="38">
        <f t="shared" si="67"/>
        <v>246</v>
      </c>
      <c r="AZ247" s="25" t="b">
        <f t="shared" si="68"/>
        <v>0</v>
      </c>
      <c r="BA247" s="25" t="b">
        <f t="shared" si="69"/>
        <v>0</v>
      </c>
      <c r="BB247" s="25" t="b">
        <f t="shared" si="70"/>
        <v>0</v>
      </c>
      <c r="BC247" s="25" t="b">
        <f t="shared" si="71"/>
        <v>0</v>
      </c>
    </row>
    <row r="248" spans="36:96" ht="16.05" customHeight="1">
      <c r="AK248" s="4">
        <v>247</v>
      </c>
      <c r="AL248" s="4">
        <v>1</v>
      </c>
      <c r="AM248" s="4">
        <v>1</v>
      </c>
      <c r="AN248" s="4">
        <v>1</v>
      </c>
      <c r="AO248" s="197" t="s">
        <v>2349</v>
      </c>
      <c r="AP248" s="198">
        <v>191.7</v>
      </c>
      <c r="AQ248">
        <v>6</v>
      </c>
      <c r="AR248">
        <v>4.5</v>
      </c>
      <c r="AS248">
        <v>3</v>
      </c>
      <c r="AT248">
        <v>1</v>
      </c>
      <c r="AU248">
        <v>19.5</v>
      </c>
      <c r="AV248">
        <v>63</v>
      </c>
      <c r="AW248">
        <v>5.8</v>
      </c>
      <c r="AY248" s="38">
        <f t="shared" si="67"/>
        <v>247</v>
      </c>
      <c r="AZ248" s="25" t="b">
        <f t="shared" si="68"/>
        <v>0</v>
      </c>
      <c r="BA248" s="25" t="b">
        <f t="shared" si="69"/>
        <v>0</v>
      </c>
      <c r="BB248" s="25">
        <f t="shared" si="70"/>
        <v>247</v>
      </c>
      <c r="BC248" s="25" t="b">
        <f t="shared" si="71"/>
        <v>0</v>
      </c>
    </row>
    <row r="249" spans="36:96" ht="16.05" customHeight="1">
      <c r="AK249" s="4">
        <v>248</v>
      </c>
      <c r="AL249" s="4">
        <v>1</v>
      </c>
      <c r="AM249" s="4">
        <v>1</v>
      </c>
      <c r="AN249" s="4">
        <v>2</v>
      </c>
      <c r="AO249" s="197" t="s">
        <v>2350</v>
      </c>
      <c r="AP249" s="198">
        <v>174.3</v>
      </c>
      <c r="AQ249">
        <v>6</v>
      </c>
      <c r="AR249">
        <v>4.5</v>
      </c>
      <c r="AS249">
        <v>3</v>
      </c>
      <c r="AT249">
        <v>20</v>
      </c>
      <c r="AU249">
        <v>17.149999999999999</v>
      </c>
      <c r="AV249">
        <v>63</v>
      </c>
      <c r="AW249">
        <v>6.15</v>
      </c>
      <c r="AY249" s="38">
        <f t="shared" si="67"/>
        <v>248</v>
      </c>
      <c r="AZ249" s="25" t="b">
        <f t="shared" si="68"/>
        <v>0</v>
      </c>
      <c r="BA249" s="25" t="b">
        <f t="shared" si="69"/>
        <v>0</v>
      </c>
      <c r="BB249" s="25" t="b">
        <f t="shared" si="70"/>
        <v>0</v>
      </c>
      <c r="BC249" s="25" t="b">
        <f t="shared" si="71"/>
        <v>0</v>
      </c>
    </row>
    <row r="250" spans="36:96" ht="16.05" customHeight="1">
      <c r="AK250" s="4">
        <v>249</v>
      </c>
      <c r="AL250" s="4">
        <v>1</v>
      </c>
      <c r="AM250" s="4">
        <v>1</v>
      </c>
      <c r="AN250" s="4">
        <v>1</v>
      </c>
      <c r="AO250" s="197" t="s">
        <v>2351</v>
      </c>
      <c r="AP250" s="198">
        <v>174.3</v>
      </c>
      <c r="AQ250">
        <v>6</v>
      </c>
      <c r="AR250">
        <v>4.5</v>
      </c>
      <c r="AS250">
        <v>3</v>
      </c>
      <c r="AT250">
        <v>1</v>
      </c>
      <c r="AU250">
        <v>16.5</v>
      </c>
      <c r="AV250">
        <v>63</v>
      </c>
      <c r="AW250">
        <v>5.8</v>
      </c>
      <c r="AY250" s="38">
        <f t="shared" si="67"/>
        <v>249</v>
      </c>
      <c r="AZ250" s="25" t="b">
        <f t="shared" si="68"/>
        <v>0</v>
      </c>
      <c r="BA250" s="25" t="b">
        <f t="shared" si="69"/>
        <v>0</v>
      </c>
      <c r="BB250" s="25">
        <f t="shared" si="70"/>
        <v>249</v>
      </c>
      <c r="BC250" s="25" t="b">
        <f t="shared" si="71"/>
        <v>0</v>
      </c>
    </row>
    <row r="251" spans="36:96" ht="16.05" customHeight="1">
      <c r="AK251" s="4">
        <v>250</v>
      </c>
      <c r="AL251" s="4">
        <v>1</v>
      </c>
      <c r="AM251" s="4">
        <v>1</v>
      </c>
      <c r="AN251" s="4">
        <v>1</v>
      </c>
      <c r="AO251" s="197" t="s">
        <v>2352</v>
      </c>
      <c r="AP251" s="198">
        <v>158.5</v>
      </c>
      <c r="AQ251">
        <v>6</v>
      </c>
      <c r="AR251">
        <v>4.5</v>
      </c>
      <c r="AS251">
        <v>3</v>
      </c>
      <c r="AT251">
        <v>0.75</v>
      </c>
      <c r="AU251">
        <v>16.87</v>
      </c>
      <c r="AV251">
        <v>63</v>
      </c>
      <c r="AW251">
        <v>5.8</v>
      </c>
      <c r="AY251" s="38">
        <f t="shared" si="67"/>
        <v>250</v>
      </c>
      <c r="AZ251" s="25" t="b">
        <f t="shared" si="68"/>
        <v>0</v>
      </c>
      <c r="BA251" s="25" t="b">
        <f t="shared" si="69"/>
        <v>0</v>
      </c>
      <c r="BB251" s="25">
        <f t="shared" si="70"/>
        <v>250</v>
      </c>
      <c r="BC251" s="25" t="b">
        <f t="shared" si="71"/>
        <v>0</v>
      </c>
    </row>
    <row r="252" spans="36:96" ht="16.05" customHeight="1">
      <c r="AK252" s="4">
        <v>251</v>
      </c>
      <c r="AL252" s="4">
        <v>1</v>
      </c>
      <c r="AM252" s="4">
        <v>1</v>
      </c>
      <c r="AN252" s="4">
        <v>2</v>
      </c>
      <c r="AO252" s="197" t="s">
        <v>2353</v>
      </c>
      <c r="AP252" s="198">
        <v>158.5</v>
      </c>
      <c r="AQ252">
        <v>6</v>
      </c>
      <c r="AR252">
        <v>4.5</v>
      </c>
      <c r="AS252">
        <v>3</v>
      </c>
      <c r="AT252">
        <v>20</v>
      </c>
      <c r="AU252">
        <v>14.6</v>
      </c>
      <c r="AV252">
        <v>63</v>
      </c>
      <c r="AW252">
        <v>6.15</v>
      </c>
      <c r="AY252" s="38">
        <f t="shared" si="67"/>
        <v>251</v>
      </c>
      <c r="AZ252" s="25" t="b">
        <f t="shared" si="68"/>
        <v>0</v>
      </c>
      <c r="BA252" s="25" t="b">
        <f t="shared" si="69"/>
        <v>0</v>
      </c>
      <c r="BB252" s="25" t="b">
        <f t="shared" si="70"/>
        <v>0</v>
      </c>
      <c r="BC252" s="25" t="b">
        <f t="shared" si="71"/>
        <v>0</v>
      </c>
    </row>
    <row r="253" spans="36:96" ht="16.05" customHeight="1">
      <c r="AK253" s="4">
        <v>252</v>
      </c>
      <c r="AL253" s="4">
        <v>1</v>
      </c>
      <c r="AM253" s="4">
        <v>1</v>
      </c>
      <c r="AN253" s="4">
        <v>1</v>
      </c>
      <c r="AO253" s="197" t="s">
        <v>2354</v>
      </c>
      <c r="AP253" s="198">
        <v>158.5</v>
      </c>
      <c r="AQ253">
        <v>6</v>
      </c>
      <c r="AR253">
        <v>4.5</v>
      </c>
      <c r="AS253">
        <v>3</v>
      </c>
      <c r="AT253">
        <v>1</v>
      </c>
      <c r="AU253">
        <v>13.5</v>
      </c>
      <c r="AV253">
        <v>63</v>
      </c>
      <c r="AW253">
        <v>5.8</v>
      </c>
      <c r="AY253" s="38">
        <f t="shared" si="67"/>
        <v>252</v>
      </c>
      <c r="AZ253" s="25" t="b">
        <f t="shared" si="68"/>
        <v>0</v>
      </c>
      <c r="BA253" s="25" t="b">
        <f t="shared" si="69"/>
        <v>0</v>
      </c>
      <c r="BB253" s="25">
        <f t="shared" si="70"/>
        <v>252</v>
      </c>
      <c r="BC253" s="25" t="b">
        <f t="shared" si="71"/>
        <v>0</v>
      </c>
    </row>
    <row r="254" spans="36:96" ht="16.05" customHeight="1">
      <c r="AK254" s="4">
        <v>253</v>
      </c>
      <c r="AL254" s="4">
        <v>1</v>
      </c>
      <c r="AM254" s="4">
        <v>1</v>
      </c>
      <c r="AN254" s="4">
        <v>2</v>
      </c>
      <c r="AO254" s="197" t="s">
        <v>2355</v>
      </c>
      <c r="AP254" s="198">
        <v>144.1</v>
      </c>
      <c r="AQ254">
        <v>6</v>
      </c>
      <c r="AR254">
        <v>4.5</v>
      </c>
      <c r="AS254">
        <v>3</v>
      </c>
      <c r="AT254">
        <v>20</v>
      </c>
      <c r="AU254">
        <v>10.8</v>
      </c>
      <c r="AV254">
        <v>63</v>
      </c>
      <c r="AW254">
        <v>6.15</v>
      </c>
      <c r="AY254" s="38">
        <f t="shared" si="67"/>
        <v>253</v>
      </c>
      <c r="AZ254" s="25" t="b">
        <f t="shared" si="68"/>
        <v>0</v>
      </c>
      <c r="BA254" s="25" t="b">
        <f t="shared" si="69"/>
        <v>0</v>
      </c>
      <c r="BB254" s="25" t="b">
        <f t="shared" si="70"/>
        <v>0</v>
      </c>
      <c r="BC254" s="25" t="b">
        <f t="shared" si="71"/>
        <v>0</v>
      </c>
    </row>
    <row r="255" spans="36:96" ht="16.05" customHeight="1">
      <c r="AK255" s="4">
        <v>254</v>
      </c>
      <c r="AL255" s="4">
        <v>1</v>
      </c>
      <c r="AM255" s="4">
        <v>1</v>
      </c>
      <c r="AN255" s="4">
        <v>1</v>
      </c>
      <c r="AO255" s="197" t="s">
        <v>2356</v>
      </c>
      <c r="AP255" s="198">
        <v>144.1</v>
      </c>
      <c r="AQ255">
        <v>6</v>
      </c>
      <c r="AR255">
        <v>4.5</v>
      </c>
      <c r="AS255">
        <v>3</v>
      </c>
      <c r="AT255">
        <v>1</v>
      </c>
      <c r="AU255">
        <v>10.5</v>
      </c>
      <c r="AV255">
        <v>63</v>
      </c>
      <c r="AW255">
        <v>5.8</v>
      </c>
      <c r="AY255" s="38">
        <f t="shared" si="67"/>
        <v>254</v>
      </c>
      <c r="AZ255" s="25" t="b">
        <f t="shared" si="68"/>
        <v>0</v>
      </c>
      <c r="BA255" s="25" t="b">
        <f t="shared" si="69"/>
        <v>0</v>
      </c>
      <c r="BB255" s="25">
        <f t="shared" si="70"/>
        <v>254</v>
      </c>
      <c r="BC255" s="25" t="b">
        <f t="shared" si="71"/>
        <v>0</v>
      </c>
    </row>
    <row r="256" spans="36:96" ht="16.05" customHeight="1">
      <c r="AK256" s="4">
        <v>255</v>
      </c>
      <c r="AL256" s="4">
        <v>1</v>
      </c>
      <c r="AM256" s="4">
        <v>1</v>
      </c>
      <c r="AN256" s="4">
        <v>1</v>
      </c>
      <c r="AO256" s="197" t="s">
        <v>2357</v>
      </c>
      <c r="AP256" s="198">
        <v>144.1</v>
      </c>
      <c r="AQ256">
        <v>6</v>
      </c>
      <c r="AR256">
        <v>4.5</v>
      </c>
      <c r="AS256">
        <v>3</v>
      </c>
      <c r="AT256">
        <v>0.75</v>
      </c>
      <c r="AU256">
        <v>10.87</v>
      </c>
      <c r="AV256">
        <v>63</v>
      </c>
      <c r="AW256">
        <v>5.8</v>
      </c>
      <c r="AY256" s="38">
        <f t="shared" si="67"/>
        <v>255</v>
      </c>
      <c r="AZ256" s="25" t="b">
        <f t="shared" si="68"/>
        <v>0</v>
      </c>
      <c r="BA256" s="25" t="b">
        <f t="shared" si="69"/>
        <v>0</v>
      </c>
      <c r="BB256" s="25">
        <f t="shared" si="70"/>
        <v>255</v>
      </c>
      <c r="BC256" s="25" t="b">
        <f t="shared" si="71"/>
        <v>0</v>
      </c>
    </row>
    <row r="257" spans="37:55" ht="16.05" customHeight="1">
      <c r="AK257" s="4">
        <v>256</v>
      </c>
      <c r="AL257" s="4">
        <v>1</v>
      </c>
      <c r="AM257" s="4">
        <v>1</v>
      </c>
      <c r="AN257" s="4">
        <v>1</v>
      </c>
      <c r="AO257" s="197" t="s">
        <v>2358</v>
      </c>
      <c r="AP257" s="198">
        <v>158.5</v>
      </c>
      <c r="AQ257">
        <v>6</v>
      </c>
      <c r="AR257">
        <v>3</v>
      </c>
      <c r="AS257">
        <v>3</v>
      </c>
      <c r="AT257">
        <v>0.7</v>
      </c>
      <c r="AU257">
        <v>8.75</v>
      </c>
      <c r="AV257">
        <v>63</v>
      </c>
      <c r="AW257">
        <v>3.8</v>
      </c>
      <c r="AY257" s="38">
        <f t="shared" si="67"/>
        <v>256</v>
      </c>
      <c r="AZ257" s="25" t="b">
        <f t="shared" si="68"/>
        <v>0</v>
      </c>
      <c r="BA257" s="25" t="b">
        <f t="shared" si="69"/>
        <v>0</v>
      </c>
      <c r="BB257" s="25">
        <f t="shared" si="70"/>
        <v>256</v>
      </c>
      <c r="BC257" s="25" t="b">
        <f t="shared" si="71"/>
        <v>0</v>
      </c>
    </row>
    <row r="258" spans="37:55" ht="16.05" customHeight="1">
      <c r="AK258" s="4">
        <v>257</v>
      </c>
      <c r="AL258" s="4">
        <v>1</v>
      </c>
      <c r="AM258" s="4">
        <v>1</v>
      </c>
      <c r="AN258" s="4">
        <v>1</v>
      </c>
      <c r="AO258" s="197" t="s">
        <v>2359</v>
      </c>
      <c r="AP258" s="198">
        <v>144.1</v>
      </c>
      <c r="AQ258">
        <v>6</v>
      </c>
      <c r="AR258">
        <v>3</v>
      </c>
      <c r="AS258">
        <v>3</v>
      </c>
      <c r="AT258">
        <v>0.7</v>
      </c>
      <c r="AU258">
        <v>7.35</v>
      </c>
      <c r="AV258">
        <v>63</v>
      </c>
      <c r="AW258">
        <v>3.8</v>
      </c>
      <c r="AY258" s="38">
        <f t="shared" ref="AY258:AY312" si="72">IF(C$10&gt;=AW258,AK258)</f>
        <v>257</v>
      </c>
      <c r="AZ258" s="25" t="b">
        <f t="shared" ref="AZ258:AZ312" si="73">IF(C$11=AT258,AK258)</f>
        <v>0</v>
      </c>
      <c r="BA258" s="25" t="b">
        <f t="shared" ref="BA258:BA312" si="74">IF(C$12&lt;=AU258,AK258)</f>
        <v>0</v>
      </c>
      <c r="BB258" s="25">
        <f t="shared" ref="BB258:BB312" si="75">IF(AN258=BT$10,AK258)</f>
        <v>257</v>
      </c>
      <c r="BC258" s="25" t="b">
        <f t="shared" ref="BC258:BC312" si="76">IF(AY258=FALSE,FALSE,IF(AZ258=FALSE,FALSE,IF(BA258=FALSE,FALSE,IF(BB258=FALSE,FALSE,AK258))))</f>
        <v>0</v>
      </c>
    </row>
    <row r="259" spans="37:55" ht="16.05" customHeight="1">
      <c r="AK259" s="4">
        <v>258</v>
      </c>
      <c r="AL259" s="4">
        <v>1</v>
      </c>
      <c r="AM259" s="4">
        <v>1</v>
      </c>
      <c r="AN259" s="4">
        <v>1</v>
      </c>
      <c r="AO259" s="197" t="s">
        <v>2360</v>
      </c>
      <c r="AP259" s="198">
        <v>174.3</v>
      </c>
      <c r="AQ259">
        <v>6</v>
      </c>
      <c r="AR259">
        <v>3</v>
      </c>
      <c r="AS259">
        <v>3</v>
      </c>
      <c r="AT259">
        <v>0.7</v>
      </c>
      <c r="AU259">
        <v>10.85</v>
      </c>
      <c r="AV259">
        <v>63</v>
      </c>
      <c r="AW259">
        <v>3.8</v>
      </c>
      <c r="AY259" s="38">
        <f t="shared" si="72"/>
        <v>258</v>
      </c>
      <c r="AZ259" s="25" t="b">
        <f t="shared" si="73"/>
        <v>0</v>
      </c>
      <c r="BA259" s="25" t="b">
        <f t="shared" si="74"/>
        <v>0</v>
      </c>
      <c r="BB259" s="25">
        <f t="shared" si="75"/>
        <v>258</v>
      </c>
      <c r="BC259" s="25" t="b">
        <f t="shared" si="76"/>
        <v>0</v>
      </c>
    </row>
    <row r="260" spans="37:55" ht="16.05" customHeight="1">
      <c r="AK260" s="4">
        <v>259</v>
      </c>
      <c r="AL260" s="4">
        <v>1</v>
      </c>
      <c r="AM260" s="4">
        <v>1</v>
      </c>
      <c r="AN260" s="4">
        <v>1</v>
      </c>
      <c r="AO260" s="197" t="s">
        <v>2361</v>
      </c>
      <c r="AP260" s="198">
        <v>144.1</v>
      </c>
      <c r="AQ260">
        <v>6</v>
      </c>
      <c r="AR260">
        <v>3.8</v>
      </c>
      <c r="AS260">
        <v>3</v>
      </c>
      <c r="AT260">
        <v>0.8</v>
      </c>
      <c r="AU260">
        <v>8.4</v>
      </c>
      <c r="AV260">
        <v>63</v>
      </c>
      <c r="AW260">
        <v>4.8</v>
      </c>
      <c r="AY260" s="38">
        <f t="shared" si="72"/>
        <v>259</v>
      </c>
      <c r="AZ260" s="25" t="b">
        <f t="shared" si="73"/>
        <v>0</v>
      </c>
      <c r="BA260" s="25" t="b">
        <f t="shared" si="74"/>
        <v>0</v>
      </c>
      <c r="BB260" s="25">
        <f t="shared" si="75"/>
        <v>259</v>
      </c>
      <c r="BC260" s="25" t="b">
        <f t="shared" si="76"/>
        <v>0</v>
      </c>
    </row>
    <row r="261" spans="37:55" ht="16.05" customHeight="1">
      <c r="AK261" s="4">
        <v>260</v>
      </c>
      <c r="AL261" s="4">
        <v>1</v>
      </c>
      <c r="AM261" s="4">
        <v>1</v>
      </c>
      <c r="AN261" s="4">
        <v>1</v>
      </c>
      <c r="AO261" s="197" t="s">
        <v>2362</v>
      </c>
      <c r="AP261" s="198">
        <v>174.3</v>
      </c>
      <c r="AQ261">
        <v>6</v>
      </c>
      <c r="AR261">
        <v>3.8</v>
      </c>
      <c r="AS261">
        <v>3</v>
      </c>
      <c r="AT261">
        <v>0.8</v>
      </c>
      <c r="AU261">
        <v>13.2</v>
      </c>
      <c r="AV261">
        <v>63</v>
      </c>
      <c r="AW261">
        <v>4.8</v>
      </c>
      <c r="AY261" s="38">
        <f t="shared" si="72"/>
        <v>260</v>
      </c>
      <c r="AZ261" s="25" t="b">
        <f t="shared" si="73"/>
        <v>0</v>
      </c>
      <c r="BA261" s="25" t="b">
        <f t="shared" si="74"/>
        <v>0</v>
      </c>
      <c r="BB261" s="25">
        <f t="shared" si="75"/>
        <v>260</v>
      </c>
      <c r="BC261" s="25" t="b">
        <f t="shared" si="76"/>
        <v>0</v>
      </c>
    </row>
    <row r="262" spans="37:55" ht="16.05" customHeight="1">
      <c r="AK262" s="4">
        <v>261</v>
      </c>
      <c r="AL262" s="4">
        <v>1</v>
      </c>
      <c r="AM262" s="4">
        <v>1</v>
      </c>
      <c r="AN262" s="4">
        <v>1</v>
      </c>
      <c r="AO262" s="197" t="s">
        <v>2363</v>
      </c>
      <c r="AP262" s="198">
        <v>158.5</v>
      </c>
      <c r="AQ262">
        <v>6</v>
      </c>
      <c r="AR262">
        <v>3.8</v>
      </c>
      <c r="AS262">
        <v>3</v>
      </c>
      <c r="AT262">
        <v>0.8</v>
      </c>
      <c r="AU262">
        <v>10.8</v>
      </c>
      <c r="AV262">
        <v>63</v>
      </c>
      <c r="AW262">
        <v>4.8</v>
      </c>
      <c r="AY262" s="38">
        <f t="shared" si="72"/>
        <v>261</v>
      </c>
      <c r="AZ262" s="25" t="b">
        <f t="shared" si="73"/>
        <v>0</v>
      </c>
      <c r="BA262" s="25" t="b">
        <f t="shared" si="74"/>
        <v>0</v>
      </c>
      <c r="BB262" s="25">
        <f t="shared" si="75"/>
        <v>261</v>
      </c>
      <c r="BC262" s="25" t="b">
        <f t="shared" si="76"/>
        <v>0</v>
      </c>
    </row>
    <row r="263" spans="37:55" ht="16.05" customHeight="1">
      <c r="AK263" s="4">
        <v>262</v>
      </c>
      <c r="AL263" s="4">
        <v>1</v>
      </c>
      <c r="AM263" s="4">
        <v>1</v>
      </c>
      <c r="AN263" s="4">
        <v>1</v>
      </c>
      <c r="AO263" s="197" t="s">
        <v>2364</v>
      </c>
      <c r="AP263" s="198">
        <v>158.5</v>
      </c>
      <c r="AQ263">
        <v>6</v>
      </c>
      <c r="AR263">
        <v>3.8</v>
      </c>
      <c r="AS263">
        <v>3</v>
      </c>
      <c r="AT263">
        <v>0.5</v>
      </c>
      <c r="AU263">
        <v>10.75</v>
      </c>
      <c r="AV263">
        <v>63</v>
      </c>
      <c r="AW263">
        <v>4.8</v>
      </c>
      <c r="AY263" s="38">
        <f t="shared" si="72"/>
        <v>262</v>
      </c>
      <c r="AZ263" s="25" t="b">
        <f t="shared" si="73"/>
        <v>0</v>
      </c>
      <c r="BA263" s="25" t="b">
        <f t="shared" si="74"/>
        <v>0</v>
      </c>
      <c r="BB263" s="25">
        <f t="shared" si="75"/>
        <v>262</v>
      </c>
      <c r="BC263" s="25" t="b">
        <f t="shared" si="76"/>
        <v>0</v>
      </c>
    </row>
    <row r="264" spans="37:55" ht="16.05" customHeight="1">
      <c r="AK264" s="4">
        <v>263</v>
      </c>
      <c r="AL264" s="4">
        <v>1</v>
      </c>
      <c r="AM264" s="4">
        <v>1</v>
      </c>
      <c r="AN264" s="4">
        <v>1</v>
      </c>
      <c r="AO264" s="197" t="s">
        <v>2365</v>
      </c>
      <c r="AP264" s="198">
        <v>174.3</v>
      </c>
      <c r="AQ264">
        <v>6</v>
      </c>
      <c r="AR264">
        <v>2.2999999999999998</v>
      </c>
      <c r="AS264">
        <v>3</v>
      </c>
      <c r="AT264">
        <v>0.5</v>
      </c>
      <c r="AU264">
        <v>8.25</v>
      </c>
      <c r="AV264">
        <v>63</v>
      </c>
      <c r="AW264">
        <v>2.8</v>
      </c>
      <c r="AY264" s="38">
        <f t="shared" si="72"/>
        <v>263</v>
      </c>
      <c r="AZ264" s="25" t="b">
        <f t="shared" si="73"/>
        <v>0</v>
      </c>
      <c r="BA264" s="25" t="b">
        <f t="shared" si="74"/>
        <v>0</v>
      </c>
      <c r="BB264" s="25">
        <f t="shared" si="75"/>
        <v>263</v>
      </c>
      <c r="BC264" s="25" t="b">
        <f t="shared" si="76"/>
        <v>0</v>
      </c>
    </row>
    <row r="265" spans="37:55" ht="16.05" customHeight="1">
      <c r="AK265" s="4">
        <v>264</v>
      </c>
      <c r="AL265" s="4">
        <v>1</v>
      </c>
      <c r="AM265" s="4">
        <v>1</v>
      </c>
      <c r="AN265" s="4">
        <v>1</v>
      </c>
      <c r="AO265" s="197" t="s">
        <v>2366</v>
      </c>
      <c r="AP265" s="198">
        <v>158.5</v>
      </c>
      <c r="AQ265">
        <v>6</v>
      </c>
      <c r="AR265">
        <v>2.2999999999999998</v>
      </c>
      <c r="AS265">
        <v>3</v>
      </c>
      <c r="AT265">
        <v>0.5</v>
      </c>
      <c r="AU265">
        <v>6.75</v>
      </c>
      <c r="AV265">
        <v>63</v>
      </c>
      <c r="AW265">
        <v>2.8</v>
      </c>
      <c r="AY265" s="38">
        <f t="shared" si="72"/>
        <v>264</v>
      </c>
      <c r="AZ265" s="25" t="b">
        <f t="shared" si="73"/>
        <v>0</v>
      </c>
      <c r="BA265" s="25" t="b">
        <f t="shared" si="74"/>
        <v>0</v>
      </c>
      <c r="BB265" s="25">
        <f t="shared" si="75"/>
        <v>264</v>
      </c>
      <c r="BC265" s="25" t="b">
        <f t="shared" si="76"/>
        <v>0</v>
      </c>
    </row>
    <row r="266" spans="37:55" ht="16.05" customHeight="1">
      <c r="AK266" s="4">
        <v>265</v>
      </c>
      <c r="AL266" s="4">
        <v>1</v>
      </c>
      <c r="AM266" s="4">
        <v>1</v>
      </c>
      <c r="AN266" s="4">
        <v>1</v>
      </c>
      <c r="AO266" s="197" t="s">
        <v>2367</v>
      </c>
      <c r="AP266" s="198">
        <v>144.1</v>
      </c>
      <c r="AQ266">
        <v>6</v>
      </c>
      <c r="AR266">
        <v>2.2999999999999998</v>
      </c>
      <c r="AS266">
        <v>3</v>
      </c>
      <c r="AT266">
        <v>0.5</v>
      </c>
      <c r="AU266">
        <v>5.25</v>
      </c>
      <c r="AV266">
        <v>63</v>
      </c>
      <c r="AW266">
        <v>2.8</v>
      </c>
      <c r="AY266" s="38">
        <f t="shared" si="72"/>
        <v>265</v>
      </c>
      <c r="AZ266" s="25" t="b">
        <f t="shared" si="73"/>
        <v>0</v>
      </c>
      <c r="BA266" s="25" t="b">
        <f t="shared" si="74"/>
        <v>0</v>
      </c>
      <c r="BB266" s="25">
        <f t="shared" si="75"/>
        <v>265</v>
      </c>
      <c r="BC266" s="25" t="b">
        <f t="shared" si="76"/>
        <v>0</v>
      </c>
    </row>
    <row r="267" spans="37:55" ht="16.05" customHeight="1">
      <c r="AK267" s="4">
        <v>266</v>
      </c>
      <c r="AL267" s="4">
        <v>1</v>
      </c>
      <c r="AM267" s="4">
        <v>1</v>
      </c>
      <c r="AN267" s="4">
        <v>2</v>
      </c>
      <c r="AO267" s="197" t="s">
        <v>2368</v>
      </c>
      <c r="AP267" s="198">
        <v>136.4</v>
      </c>
      <c r="AQ267">
        <v>4</v>
      </c>
      <c r="AR267">
        <v>4</v>
      </c>
      <c r="AS267">
        <v>3</v>
      </c>
      <c r="AT267">
        <v>28</v>
      </c>
      <c r="AU267">
        <v>9.52</v>
      </c>
      <c r="AV267">
        <v>50</v>
      </c>
      <c r="AW267">
        <v>5.2859999999999996</v>
      </c>
      <c r="AY267" s="38">
        <f t="shared" si="72"/>
        <v>266</v>
      </c>
      <c r="AZ267" s="25" t="b">
        <f t="shared" si="73"/>
        <v>0</v>
      </c>
      <c r="BA267" s="25" t="b">
        <f t="shared" si="74"/>
        <v>0</v>
      </c>
      <c r="BB267" s="25" t="b">
        <f t="shared" si="75"/>
        <v>0</v>
      </c>
      <c r="BC267" s="25" t="b">
        <f t="shared" si="76"/>
        <v>0</v>
      </c>
    </row>
    <row r="268" spans="37:55" ht="16.05" customHeight="1">
      <c r="AK268" s="4">
        <v>267</v>
      </c>
      <c r="AL268" s="4">
        <v>1</v>
      </c>
      <c r="AM268" s="4">
        <v>1</v>
      </c>
      <c r="AN268" s="4">
        <v>2</v>
      </c>
      <c r="AO268" s="197" t="s">
        <v>2369</v>
      </c>
      <c r="AP268" s="198">
        <v>150</v>
      </c>
      <c r="AQ268">
        <v>4</v>
      </c>
      <c r="AR268">
        <v>4</v>
      </c>
      <c r="AS268">
        <v>3</v>
      </c>
      <c r="AT268">
        <v>24</v>
      </c>
      <c r="AU268">
        <v>15.35</v>
      </c>
      <c r="AV268">
        <v>50</v>
      </c>
      <c r="AW268">
        <v>5.2859999999999996</v>
      </c>
      <c r="AY268" s="38">
        <f t="shared" si="72"/>
        <v>267</v>
      </c>
      <c r="AZ268" s="25" t="b">
        <f t="shared" si="73"/>
        <v>0</v>
      </c>
      <c r="BA268" s="25" t="b">
        <f t="shared" si="74"/>
        <v>0</v>
      </c>
      <c r="BB268" s="25" t="b">
        <f t="shared" si="75"/>
        <v>0</v>
      </c>
      <c r="BC268" s="25" t="b">
        <f t="shared" si="76"/>
        <v>0</v>
      </c>
    </row>
    <row r="269" spans="37:55" ht="16.05" customHeight="1">
      <c r="AK269" s="4">
        <v>268</v>
      </c>
      <c r="AL269" s="4">
        <v>1</v>
      </c>
      <c r="AM269" s="4">
        <v>1</v>
      </c>
      <c r="AN269" s="4">
        <v>2</v>
      </c>
      <c r="AO269" s="197" t="s">
        <v>2370</v>
      </c>
      <c r="AP269" s="198">
        <v>150</v>
      </c>
      <c r="AQ269">
        <v>4</v>
      </c>
      <c r="AR269">
        <v>4</v>
      </c>
      <c r="AS269">
        <v>3</v>
      </c>
      <c r="AT269">
        <v>28</v>
      </c>
      <c r="AU269">
        <v>12.25</v>
      </c>
      <c r="AV269">
        <v>50</v>
      </c>
      <c r="AW269">
        <v>5.2859999999999996</v>
      </c>
      <c r="AY269" s="38">
        <f t="shared" si="72"/>
        <v>268</v>
      </c>
      <c r="AZ269" s="25" t="b">
        <f t="shared" si="73"/>
        <v>0</v>
      </c>
      <c r="BA269" s="25" t="b">
        <f t="shared" si="74"/>
        <v>0</v>
      </c>
      <c r="BB269" s="25" t="b">
        <f t="shared" si="75"/>
        <v>0</v>
      </c>
      <c r="BC269" s="25" t="b">
        <f t="shared" si="76"/>
        <v>0</v>
      </c>
    </row>
    <row r="270" spans="37:55" ht="16.05" customHeight="1">
      <c r="AK270" s="4">
        <v>269</v>
      </c>
      <c r="AL270" s="4">
        <v>1</v>
      </c>
      <c r="AM270" s="4">
        <v>1</v>
      </c>
      <c r="AN270" s="4">
        <v>2</v>
      </c>
      <c r="AO270" s="197" t="s">
        <v>2371</v>
      </c>
      <c r="AP270" s="198">
        <v>136.4</v>
      </c>
      <c r="AQ270">
        <v>4</v>
      </c>
      <c r="AR270">
        <v>4</v>
      </c>
      <c r="AS270">
        <v>3</v>
      </c>
      <c r="AT270">
        <v>24</v>
      </c>
      <c r="AU270">
        <v>12.17</v>
      </c>
      <c r="AV270">
        <v>50</v>
      </c>
      <c r="AW270">
        <v>5.2859999999999996</v>
      </c>
      <c r="AY270" s="38">
        <f t="shared" si="72"/>
        <v>269</v>
      </c>
      <c r="AZ270" s="25" t="b">
        <f t="shared" si="73"/>
        <v>0</v>
      </c>
      <c r="BA270" s="25" t="b">
        <f t="shared" si="74"/>
        <v>0</v>
      </c>
      <c r="BB270" s="25" t="b">
        <f t="shared" si="75"/>
        <v>0</v>
      </c>
      <c r="BC270" s="25" t="b">
        <f t="shared" si="76"/>
        <v>0</v>
      </c>
    </row>
    <row r="271" spans="37:55" ht="16.05" customHeight="1">
      <c r="AK271" s="4">
        <v>270</v>
      </c>
      <c r="AL271" s="4">
        <v>1</v>
      </c>
      <c r="AM271" s="4">
        <v>1</v>
      </c>
      <c r="AN271" s="4">
        <v>2</v>
      </c>
      <c r="AO271" s="197" t="s">
        <v>2372</v>
      </c>
      <c r="AP271" s="198">
        <v>124</v>
      </c>
      <c r="AQ271">
        <v>4</v>
      </c>
      <c r="AR271">
        <v>4</v>
      </c>
      <c r="AS271">
        <v>3</v>
      </c>
      <c r="AT271">
        <v>24</v>
      </c>
      <c r="AU271">
        <v>10.050000000000001</v>
      </c>
      <c r="AV271">
        <v>50</v>
      </c>
      <c r="AW271">
        <v>5.2859999999999996</v>
      </c>
      <c r="AY271" s="38">
        <f t="shared" si="72"/>
        <v>270</v>
      </c>
      <c r="AZ271" s="25" t="b">
        <f t="shared" si="73"/>
        <v>0</v>
      </c>
      <c r="BA271" s="25" t="b">
        <f t="shared" si="74"/>
        <v>0</v>
      </c>
      <c r="BB271" s="25" t="b">
        <f t="shared" si="75"/>
        <v>0</v>
      </c>
      <c r="BC271" s="25" t="b">
        <f t="shared" si="76"/>
        <v>0</v>
      </c>
    </row>
    <row r="272" spans="37:55" ht="16.05" customHeight="1">
      <c r="AK272" s="4">
        <v>271</v>
      </c>
      <c r="AL272" s="4">
        <v>1</v>
      </c>
      <c r="AM272" s="4">
        <v>1</v>
      </c>
      <c r="AN272" s="4">
        <v>2</v>
      </c>
      <c r="AO272" s="197" t="s">
        <v>2373</v>
      </c>
      <c r="AP272" s="198">
        <v>136.4</v>
      </c>
      <c r="AQ272">
        <v>4</v>
      </c>
      <c r="AR272">
        <v>3</v>
      </c>
      <c r="AS272">
        <v>3</v>
      </c>
      <c r="AT272">
        <v>32</v>
      </c>
      <c r="AU272">
        <v>9.1300000000000008</v>
      </c>
      <c r="AV272">
        <v>50</v>
      </c>
      <c r="AW272">
        <v>3.9660000000000002</v>
      </c>
      <c r="AY272" s="38">
        <f t="shared" si="72"/>
        <v>271</v>
      </c>
      <c r="AZ272" s="25" t="b">
        <f t="shared" si="73"/>
        <v>0</v>
      </c>
      <c r="BA272" s="25" t="b">
        <f t="shared" si="74"/>
        <v>0</v>
      </c>
      <c r="BB272" s="25" t="b">
        <f t="shared" si="75"/>
        <v>0</v>
      </c>
      <c r="BC272" s="25" t="b">
        <f t="shared" si="76"/>
        <v>0</v>
      </c>
    </row>
    <row r="273" spans="37:55" ht="16.05" customHeight="1">
      <c r="AK273" s="4">
        <v>272</v>
      </c>
      <c r="AL273" s="4">
        <v>1</v>
      </c>
      <c r="AM273" s="4">
        <v>1</v>
      </c>
      <c r="AN273" s="4">
        <v>1</v>
      </c>
      <c r="AO273" s="197" t="s">
        <v>2374</v>
      </c>
      <c r="AP273" s="198">
        <v>136.4</v>
      </c>
      <c r="AQ273">
        <v>4</v>
      </c>
      <c r="AR273">
        <v>3</v>
      </c>
      <c r="AS273">
        <v>3</v>
      </c>
      <c r="AT273">
        <v>0.7</v>
      </c>
      <c r="AU273">
        <v>8.75</v>
      </c>
      <c r="AV273">
        <v>50</v>
      </c>
      <c r="AW273">
        <v>3.8</v>
      </c>
      <c r="AY273" s="38">
        <f t="shared" si="72"/>
        <v>272</v>
      </c>
      <c r="AZ273" s="25" t="b">
        <f t="shared" si="73"/>
        <v>0</v>
      </c>
      <c r="BA273" s="25" t="b">
        <f t="shared" si="74"/>
        <v>0</v>
      </c>
      <c r="BB273" s="25">
        <f t="shared" si="75"/>
        <v>272</v>
      </c>
      <c r="BC273" s="25" t="b">
        <f t="shared" si="76"/>
        <v>0</v>
      </c>
    </row>
    <row r="274" spans="37:55" ht="16.05" customHeight="1">
      <c r="AK274" s="4">
        <v>273</v>
      </c>
      <c r="AL274" s="4">
        <v>1</v>
      </c>
      <c r="AM274" s="4">
        <v>1</v>
      </c>
      <c r="AN274" s="4">
        <v>2</v>
      </c>
      <c r="AO274" s="197" t="s">
        <v>2375</v>
      </c>
      <c r="AP274" s="198">
        <v>124</v>
      </c>
      <c r="AQ274">
        <v>4</v>
      </c>
      <c r="AR274">
        <v>3</v>
      </c>
      <c r="AS274">
        <v>3</v>
      </c>
      <c r="AT274">
        <v>32</v>
      </c>
      <c r="AU274">
        <v>7.54</v>
      </c>
      <c r="AV274">
        <v>50</v>
      </c>
      <c r="AW274">
        <v>3.9660000000000002</v>
      </c>
      <c r="AY274" s="38">
        <f t="shared" si="72"/>
        <v>273</v>
      </c>
      <c r="AZ274" s="25" t="b">
        <f t="shared" si="73"/>
        <v>0</v>
      </c>
      <c r="BA274" s="25" t="b">
        <f t="shared" si="74"/>
        <v>0</v>
      </c>
      <c r="BB274" s="25" t="b">
        <f t="shared" si="75"/>
        <v>0</v>
      </c>
      <c r="BC274" s="25" t="b">
        <f t="shared" si="76"/>
        <v>0</v>
      </c>
    </row>
    <row r="275" spans="37:55" ht="16.05" customHeight="1">
      <c r="AK275" s="4">
        <v>274</v>
      </c>
      <c r="AL275" s="4">
        <v>1</v>
      </c>
      <c r="AM275" s="4">
        <v>1</v>
      </c>
      <c r="AN275" s="4">
        <v>1</v>
      </c>
      <c r="AO275" s="197" t="s">
        <v>2376</v>
      </c>
      <c r="AP275" s="198">
        <v>124</v>
      </c>
      <c r="AQ275">
        <v>4</v>
      </c>
      <c r="AR275">
        <v>3</v>
      </c>
      <c r="AS275">
        <v>3</v>
      </c>
      <c r="AT275">
        <v>0.7</v>
      </c>
      <c r="AU275">
        <v>7.35</v>
      </c>
      <c r="AV275">
        <v>50</v>
      </c>
      <c r="AW275">
        <v>3.8</v>
      </c>
      <c r="AY275" s="38">
        <f t="shared" si="72"/>
        <v>274</v>
      </c>
      <c r="AZ275" s="25" t="b">
        <f t="shared" si="73"/>
        <v>0</v>
      </c>
      <c r="BA275" s="25" t="b">
        <f t="shared" si="74"/>
        <v>0</v>
      </c>
      <c r="BB275" s="25">
        <f t="shared" si="75"/>
        <v>274</v>
      </c>
      <c r="BC275" s="25" t="b">
        <f t="shared" si="76"/>
        <v>0</v>
      </c>
    </row>
    <row r="276" spans="37:55" ht="16.05" customHeight="1">
      <c r="AK276" s="4">
        <v>275</v>
      </c>
      <c r="AL276" s="4">
        <v>1</v>
      </c>
      <c r="AM276" s="4">
        <v>1</v>
      </c>
      <c r="AN276" s="4">
        <v>2</v>
      </c>
      <c r="AO276" s="197" t="s">
        <v>2377</v>
      </c>
      <c r="AP276" s="198">
        <v>150</v>
      </c>
      <c r="AQ276">
        <v>4</v>
      </c>
      <c r="AR276">
        <v>3</v>
      </c>
      <c r="AS276">
        <v>3</v>
      </c>
      <c r="AT276">
        <v>32</v>
      </c>
      <c r="AU276">
        <v>11.51</v>
      </c>
      <c r="AV276">
        <v>50</v>
      </c>
      <c r="AW276">
        <v>3.9660000000000002</v>
      </c>
      <c r="AY276" s="38">
        <f t="shared" si="72"/>
        <v>275</v>
      </c>
      <c r="AZ276" s="25" t="b">
        <f t="shared" si="73"/>
        <v>0</v>
      </c>
      <c r="BA276" s="25" t="b">
        <f t="shared" si="74"/>
        <v>0</v>
      </c>
      <c r="BB276" s="25" t="b">
        <f t="shared" si="75"/>
        <v>0</v>
      </c>
      <c r="BC276" s="25" t="b">
        <f t="shared" si="76"/>
        <v>0</v>
      </c>
    </row>
    <row r="277" spans="37:55" ht="16.05" customHeight="1">
      <c r="AK277" s="4">
        <v>276</v>
      </c>
      <c r="AL277" s="4">
        <v>1</v>
      </c>
      <c r="AM277" s="4">
        <v>1</v>
      </c>
      <c r="AN277" s="4">
        <v>1</v>
      </c>
      <c r="AO277" s="197" t="s">
        <v>2378</v>
      </c>
      <c r="AP277" s="198">
        <v>150</v>
      </c>
      <c r="AQ277">
        <v>4</v>
      </c>
      <c r="AR277">
        <v>3</v>
      </c>
      <c r="AS277">
        <v>3</v>
      </c>
      <c r="AT277">
        <v>0.7</v>
      </c>
      <c r="AU277">
        <v>10.85</v>
      </c>
      <c r="AV277">
        <v>50</v>
      </c>
      <c r="AW277">
        <v>3.8</v>
      </c>
      <c r="AY277" s="38">
        <f t="shared" si="72"/>
        <v>276</v>
      </c>
      <c r="AZ277" s="25" t="b">
        <f t="shared" si="73"/>
        <v>0</v>
      </c>
      <c r="BA277" s="25" t="b">
        <f t="shared" si="74"/>
        <v>0</v>
      </c>
      <c r="BB277" s="25">
        <f t="shared" si="75"/>
        <v>276</v>
      </c>
      <c r="BC277" s="25" t="b">
        <f t="shared" si="76"/>
        <v>0</v>
      </c>
    </row>
    <row r="278" spans="37:55" ht="16.05" customHeight="1">
      <c r="AK278" s="4">
        <v>277</v>
      </c>
      <c r="AL278" s="4">
        <v>1</v>
      </c>
      <c r="AM278" s="4">
        <v>1</v>
      </c>
      <c r="AN278" s="4">
        <v>2</v>
      </c>
      <c r="AO278" s="197" t="s">
        <v>2379</v>
      </c>
      <c r="AP278" s="198">
        <v>124</v>
      </c>
      <c r="AQ278">
        <v>4</v>
      </c>
      <c r="AR278">
        <v>3.8</v>
      </c>
      <c r="AS278">
        <v>3</v>
      </c>
      <c r="AT278">
        <v>24</v>
      </c>
      <c r="AU278">
        <v>9</v>
      </c>
      <c r="AV278">
        <v>50</v>
      </c>
      <c r="AW278">
        <v>4.6260000000000003</v>
      </c>
      <c r="AY278" s="38">
        <f t="shared" si="72"/>
        <v>277</v>
      </c>
      <c r="AZ278" s="25" t="b">
        <f t="shared" si="73"/>
        <v>0</v>
      </c>
      <c r="BA278" s="25" t="b">
        <f t="shared" si="74"/>
        <v>0</v>
      </c>
      <c r="BB278" s="25" t="b">
        <f t="shared" si="75"/>
        <v>0</v>
      </c>
      <c r="BC278" s="25" t="b">
        <f t="shared" si="76"/>
        <v>0</v>
      </c>
    </row>
    <row r="279" spans="37:55" ht="16.05" customHeight="1">
      <c r="AK279" s="4">
        <v>278</v>
      </c>
      <c r="AL279" s="4">
        <v>1</v>
      </c>
      <c r="AM279" s="4">
        <v>1</v>
      </c>
      <c r="AN279" s="4">
        <v>1</v>
      </c>
      <c r="AO279" s="197" t="s">
        <v>2380</v>
      </c>
      <c r="AP279" s="198">
        <v>124</v>
      </c>
      <c r="AQ279">
        <v>4</v>
      </c>
      <c r="AR279">
        <v>3.8</v>
      </c>
      <c r="AS279">
        <v>3</v>
      </c>
      <c r="AT279">
        <v>0.8</v>
      </c>
      <c r="AU279">
        <v>8.4</v>
      </c>
      <c r="AV279">
        <v>50</v>
      </c>
      <c r="AW279">
        <v>4.8</v>
      </c>
      <c r="AY279" s="38">
        <f t="shared" si="72"/>
        <v>278</v>
      </c>
      <c r="AZ279" s="25" t="b">
        <f t="shared" si="73"/>
        <v>0</v>
      </c>
      <c r="BA279" s="25" t="b">
        <f t="shared" si="74"/>
        <v>0</v>
      </c>
      <c r="BB279" s="25">
        <f t="shared" si="75"/>
        <v>278</v>
      </c>
      <c r="BC279" s="25" t="b">
        <f t="shared" si="76"/>
        <v>0</v>
      </c>
    </row>
    <row r="280" spans="37:55" ht="16.05" customHeight="1">
      <c r="AK280" s="4">
        <v>279</v>
      </c>
      <c r="AL280" s="4">
        <v>1</v>
      </c>
      <c r="AM280" s="4">
        <v>1</v>
      </c>
      <c r="AN280" s="4">
        <v>2</v>
      </c>
      <c r="AO280" s="197" t="s">
        <v>2381</v>
      </c>
      <c r="AP280" s="198">
        <v>150</v>
      </c>
      <c r="AQ280">
        <v>4</v>
      </c>
      <c r="AR280">
        <v>3.8</v>
      </c>
      <c r="AS280">
        <v>3</v>
      </c>
      <c r="AT280">
        <v>24</v>
      </c>
      <c r="AU280">
        <v>13.23</v>
      </c>
      <c r="AV280">
        <v>50</v>
      </c>
      <c r="AW280">
        <v>4.6260000000000003</v>
      </c>
      <c r="AY280" s="38">
        <f t="shared" si="72"/>
        <v>279</v>
      </c>
      <c r="AZ280" s="25" t="b">
        <f t="shared" si="73"/>
        <v>0</v>
      </c>
      <c r="BA280" s="25" t="b">
        <f t="shared" si="74"/>
        <v>0</v>
      </c>
      <c r="BB280" s="25" t="b">
        <f t="shared" si="75"/>
        <v>0</v>
      </c>
      <c r="BC280" s="25" t="b">
        <f t="shared" si="76"/>
        <v>0</v>
      </c>
    </row>
    <row r="281" spans="37:55" ht="16.05" customHeight="1">
      <c r="AK281" s="4">
        <v>280</v>
      </c>
      <c r="AL281" s="4">
        <v>1</v>
      </c>
      <c r="AM281" s="4">
        <v>1</v>
      </c>
      <c r="AN281" s="4">
        <v>1</v>
      </c>
      <c r="AO281" s="197" t="s">
        <v>2382</v>
      </c>
      <c r="AP281" s="198">
        <v>150</v>
      </c>
      <c r="AQ281">
        <v>4</v>
      </c>
      <c r="AR281">
        <v>3.8</v>
      </c>
      <c r="AS281">
        <v>3</v>
      </c>
      <c r="AT281">
        <v>0.8</v>
      </c>
      <c r="AU281">
        <v>13.2</v>
      </c>
      <c r="AV281">
        <v>50</v>
      </c>
      <c r="AW281">
        <v>4.8</v>
      </c>
      <c r="AY281" s="38">
        <f t="shared" si="72"/>
        <v>280</v>
      </c>
      <c r="AZ281" s="25" t="b">
        <f t="shared" si="73"/>
        <v>0</v>
      </c>
      <c r="BA281" s="25" t="b">
        <f t="shared" si="74"/>
        <v>0</v>
      </c>
      <c r="BB281" s="25">
        <f t="shared" si="75"/>
        <v>280</v>
      </c>
      <c r="BC281" s="25" t="b">
        <f t="shared" si="76"/>
        <v>0</v>
      </c>
    </row>
    <row r="282" spans="37:55" ht="16.05" customHeight="1">
      <c r="AK282" s="4">
        <v>281</v>
      </c>
      <c r="AL282" s="4">
        <v>1</v>
      </c>
      <c r="AM282" s="4">
        <v>1</v>
      </c>
      <c r="AN282" s="4">
        <v>2</v>
      </c>
      <c r="AO282" s="197" t="s">
        <v>2383</v>
      </c>
      <c r="AP282" s="198">
        <v>136.4</v>
      </c>
      <c r="AQ282">
        <v>4</v>
      </c>
      <c r="AR282">
        <v>3.8</v>
      </c>
      <c r="AS282">
        <v>3</v>
      </c>
      <c r="AT282">
        <v>24</v>
      </c>
      <c r="AU282">
        <v>11.11</v>
      </c>
      <c r="AV282">
        <v>50</v>
      </c>
      <c r="AW282">
        <v>4.6260000000000003</v>
      </c>
      <c r="AY282" s="38">
        <f t="shared" si="72"/>
        <v>281</v>
      </c>
      <c r="AZ282" s="25" t="b">
        <f t="shared" si="73"/>
        <v>0</v>
      </c>
      <c r="BA282" s="25" t="b">
        <f t="shared" si="74"/>
        <v>0</v>
      </c>
      <c r="BB282" s="25" t="b">
        <f t="shared" si="75"/>
        <v>0</v>
      </c>
      <c r="BC282" s="25" t="b">
        <f t="shared" si="76"/>
        <v>0</v>
      </c>
    </row>
    <row r="283" spans="37:55" ht="16.05" customHeight="1">
      <c r="AK283" s="4">
        <v>282</v>
      </c>
      <c r="AL283" s="4">
        <v>1</v>
      </c>
      <c r="AM283" s="4">
        <v>1</v>
      </c>
      <c r="AN283" s="4">
        <v>1</v>
      </c>
      <c r="AO283" s="197" t="s">
        <v>2384</v>
      </c>
      <c r="AP283" s="198">
        <v>136.4</v>
      </c>
      <c r="AQ283">
        <v>4</v>
      </c>
      <c r="AR283">
        <v>3.8</v>
      </c>
      <c r="AS283">
        <v>3</v>
      </c>
      <c r="AT283">
        <v>0.8</v>
      </c>
      <c r="AU283">
        <v>10.8</v>
      </c>
      <c r="AV283">
        <v>50</v>
      </c>
      <c r="AW283">
        <v>4.8</v>
      </c>
      <c r="AY283" s="38">
        <f t="shared" si="72"/>
        <v>282</v>
      </c>
      <c r="AZ283" s="25" t="b">
        <f t="shared" si="73"/>
        <v>0</v>
      </c>
      <c r="BA283" s="25" t="b">
        <f t="shared" si="74"/>
        <v>0</v>
      </c>
      <c r="BB283" s="25">
        <f t="shared" si="75"/>
        <v>282</v>
      </c>
      <c r="BC283" s="25" t="b">
        <f t="shared" si="76"/>
        <v>0</v>
      </c>
    </row>
    <row r="284" spans="37:55" ht="16.05" customHeight="1">
      <c r="AK284" s="4">
        <v>283</v>
      </c>
      <c r="AL284" s="4">
        <v>1</v>
      </c>
      <c r="AM284" s="4">
        <v>1</v>
      </c>
      <c r="AN284" s="4">
        <v>1</v>
      </c>
      <c r="AO284" s="197" t="s">
        <v>2385</v>
      </c>
      <c r="AP284" s="198">
        <v>136.4</v>
      </c>
      <c r="AQ284">
        <v>4</v>
      </c>
      <c r="AR284">
        <v>3.8</v>
      </c>
      <c r="AS284">
        <v>3</v>
      </c>
      <c r="AT284">
        <v>0.5</v>
      </c>
      <c r="AU284">
        <v>10.75</v>
      </c>
      <c r="AV284">
        <v>50</v>
      </c>
      <c r="AW284">
        <v>4.8</v>
      </c>
      <c r="AY284" s="38">
        <f t="shared" si="72"/>
        <v>283</v>
      </c>
      <c r="AZ284" s="25" t="b">
        <f t="shared" si="73"/>
        <v>0</v>
      </c>
      <c r="BA284" s="25" t="b">
        <f t="shared" si="74"/>
        <v>0</v>
      </c>
      <c r="BB284" s="25">
        <f t="shared" si="75"/>
        <v>283</v>
      </c>
      <c r="BC284" s="25" t="b">
        <f t="shared" si="76"/>
        <v>0</v>
      </c>
    </row>
    <row r="285" spans="37:55" ht="16.05" customHeight="1">
      <c r="AK285" s="4">
        <v>284</v>
      </c>
      <c r="AL285" s="4">
        <v>1</v>
      </c>
      <c r="AM285" s="4">
        <v>1</v>
      </c>
      <c r="AN285" s="4">
        <v>2</v>
      </c>
      <c r="AO285" s="197" t="s">
        <v>2386</v>
      </c>
      <c r="AP285" s="198">
        <v>136.4</v>
      </c>
      <c r="AQ285">
        <v>4</v>
      </c>
      <c r="AR285">
        <v>3.6</v>
      </c>
      <c r="AS285">
        <v>3</v>
      </c>
      <c r="AT285">
        <v>32</v>
      </c>
      <c r="AU285">
        <v>8.33</v>
      </c>
      <c r="AV285">
        <v>50</v>
      </c>
      <c r="AW285">
        <v>4.6260000000000003</v>
      </c>
      <c r="AY285" s="38">
        <f t="shared" si="72"/>
        <v>284</v>
      </c>
      <c r="AZ285" s="25" t="b">
        <f t="shared" si="73"/>
        <v>0</v>
      </c>
      <c r="BA285" s="25" t="b">
        <f t="shared" si="74"/>
        <v>0</v>
      </c>
      <c r="BB285" s="25" t="b">
        <f t="shared" si="75"/>
        <v>0</v>
      </c>
      <c r="BC285" s="25" t="b">
        <f t="shared" si="76"/>
        <v>0</v>
      </c>
    </row>
    <row r="286" spans="37:55" ht="16.05" customHeight="1">
      <c r="AK286" s="4">
        <v>285</v>
      </c>
      <c r="AL286" s="4">
        <v>1</v>
      </c>
      <c r="AM286" s="4">
        <v>1</v>
      </c>
      <c r="AN286" s="4">
        <v>2</v>
      </c>
      <c r="AO286" s="197" t="s">
        <v>2387</v>
      </c>
      <c r="AP286" s="198">
        <v>150</v>
      </c>
      <c r="AQ286">
        <v>4</v>
      </c>
      <c r="AR286">
        <v>3.6</v>
      </c>
      <c r="AS286">
        <v>3</v>
      </c>
      <c r="AT286">
        <v>32</v>
      </c>
      <c r="AU286">
        <v>10.72</v>
      </c>
      <c r="AV286">
        <v>50</v>
      </c>
      <c r="AW286">
        <v>4.6260000000000003</v>
      </c>
      <c r="AY286" s="38">
        <f t="shared" si="72"/>
        <v>285</v>
      </c>
      <c r="AZ286" s="25" t="b">
        <f t="shared" si="73"/>
        <v>0</v>
      </c>
      <c r="BA286" s="25" t="b">
        <f t="shared" si="74"/>
        <v>0</v>
      </c>
      <c r="BB286" s="25" t="b">
        <f t="shared" si="75"/>
        <v>0</v>
      </c>
      <c r="BC286" s="25" t="b">
        <f t="shared" si="76"/>
        <v>0</v>
      </c>
    </row>
    <row r="287" spans="37:55" ht="16.05" customHeight="1">
      <c r="AK287" s="4">
        <v>286</v>
      </c>
      <c r="AL287" s="4">
        <v>1</v>
      </c>
      <c r="AM287" s="4">
        <v>1</v>
      </c>
      <c r="AN287" s="4">
        <v>1</v>
      </c>
      <c r="AO287" s="197" t="s">
        <v>2388</v>
      </c>
      <c r="AP287" s="198">
        <v>124</v>
      </c>
      <c r="AQ287">
        <v>4</v>
      </c>
      <c r="AR287">
        <v>3.4</v>
      </c>
      <c r="AS287">
        <v>3</v>
      </c>
      <c r="AT287">
        <v>0.75</v>
      </c>
      <c r="AU287">
        <v>7.87</v>
      </c>
      <c r="AV287">
        <v>50</v>
      </c>
      <c r="AW287">
        <v>4.3</v>
      </c>
      <c r="AY287" s="38">
        <f t="shared" si="72"/>
        <v>286</v>
      </c>
      <c r="AZ287" s="25" t="b">
        <f t="shared" si="73"/>
        <v>0</v>
      </c>
      <c r="BA287" s="25" t="b">
        <f t="shared" si="74"/>
        <v>0</v>
      </c>
      <c r="BB287" s="25">
        <f t="shared" si="75"/>
        <v>286</v>
      </c>
      <c r="BC287" s="25" t="b">
        <f t="shared" si="76"/>
        <v>0</v>
      </c>
    </row>
    <row r="288" spans="37:55" ht="16.05" customHeight="1">
      <c r="AK288" s="4">
        <v>287</v>
      </c>
      <c r="AL288" s="4">
        <v>1</v>
      </c>
      <c r="AM288" s="4">
        <v>1</v>
      </c>
      <c r="AN288" s="4">
        <v>1</v>
      </c>
      <c r="AO288" s="197" t="s">
        <v>2389</v>
      </c>
      <c r="AP288" s="198">
        <v>136.4</v>
      </c>
      <c r="AQ288">
        <v>4</v>
      </c>
      <c r="AR288">
        <v>3.4</v>
      </c>
      <c r="AS288">
        <v>3</v>
      </c>
      <c r="AT288">
        <v>0.75</v>
      </c>
      <c r="AU288">
        <v>10.119999999999999</v>
      </c>
      <c r="AV288">
        <v>50</v>
      </c>
      <c r="AW288">
        <v>4.3</v>
      </c>
      <c r="AY288" s="38">
        <f t="shared" si="72"/>
        <v>287</v>
      </c>
      <c r="AZ288" s="25" t="b">
        <f t="shared" si="73"/>
        <v>0</v>
      </c>
      <c r="BA288" s="25" t="b">
        <f t="shared" si="74"/>
        <v>0</v>
      </c>
      <c r="BB288" s="25">
        <f t="shared" si="75"/>
        <v>287</v>
      </c>
      <c r="BC288" s="25" t="b">
        <f t="shared" si="76"/>
        <v>0</v>
      </c>
    </row>
    <row r="289" spans="37:55" ht="16.05" customHeight="1">
      <c r="AK289" s="4">
        <v>288</v>
      </c>
      <c r="AL289" s="4">
        <v>1</v>
      </c>
      <c r="AM289" s="4">
        <v>1</v>
      </c>
      <c r="AN289" s="4">
        <v>2</v>
      </c>
      <c r="AO289" s="197" t="s">
        <v>2390</v>
      </c>
      <c r="AP289" s="198">
        <v>150</v>
      </c>
      <c r="AQ289">
        <v>4</v>
      </c>
      <c r="AR289">
        <v>3.1</v>
      </c>
      <c r="AS289">
        <v>3</v>
      </c>
      <c r="AT289">
        <v>36</v>
      </c>
      <c r="AU289">
        <v>9.5299999999999994</v>
      </c>
      <c r="AV289">
        <v>50</v>
      </c>
      <c r="AW289">
        <v>3.9660000000000002</v>
      </c>
      <c r="AY289" s="38">
        <f t="shared" si="72"/>
        <v>288</v>
      </c>
      <c r="AZ289" s="25" t="b">
        <f t="shared" si="73"/>
        <v>0</v>
      </c>
      <c r="BA289" s="25" t="b">
        <f t="shared" si="74"/>
        <v>0</v>
      </c>
      <c r="BB289" s="25" t="b">
        <f t="shared" si="75"/>
        <v>0</v>
      </c>
      <c r="BC289" s="25" t="b">
        <f t="shared" si="76"/>
        <v>0</v>
      </c>
    </row>
    <row r="290" spans="37:55" ht="16.05" customHeight="1">
      <c r="AK290" s="4">
        <v>289</v>
      </c>
      <c r="AL290" s="4">
        <v>1</v>
      </c>
      <c r="AM290" s="4">
        <v>1</v>
      </c>
      <c r="AN290" s="4">
        <v>2</v>
      </c>
      <c r="AO290" s="197" t="s">
        <v>2391</v>
      </c>
      <c r="AP290" s="198">
        <v>136.4</v>
      </c>
      <c r="AQ290">
        <v>4</v>
      </c>
      <c r="AR290">
        <v>3.1</v>
      </c>
      <c r="AS290">
        <v>3</v>
      </c>
      <c r="AT290">
        <v>36</v>
      </c>
      <c r="AU290">
        <v>7.41</v>
      </c>
      <c r="AV290">
        <v>50</v>
      </c>
      <c r="AW290">
        <v>3.9660000000000002</v>
      </c>
      <c r="AY290" s="38">
        <f t="shared" si="72"/>
        <v>289</v>
      </c>
      <c r="AZ290" s="25" t="b">
        <f t="shared" si="73"/>
        <v>0</v>
      </c>
      <c r="BA290" s="25" t="b">
        <f t="shared" si="74"/>
        <v>0</v>
      </c>
      <c r="BB290" s="25" t="b">
        <f t="shared" si="75"/>
        <v>0</v>
      </c>
      <c r="BC290" s="25" t="b">
        <f t="shared" si="76"/>
        <v>0</v>
      </c>
    </row>
    <row r="291" spans="37:55" ht="16.05" customHeight="1">
      <c r="AK291" s="4">
        <v>290</v>
      </c>
      <c r="AL291" s="4">
        <v>1</v>
      </c>
      <c r="AM291" s="4">
        <v>1</v>
      </c>
      <c r="AN291" s="4">
        <v>1</v>
      </c>
      <c r="AO291" s="197" t="s">
        <v>2392</v>
      </c>
      <c r="AP291" s="198">
        <v>136.4</v>
      </c>
      <c r="AQ291">
        <v>4</v>
      </c>
      <c r="AR291">
        <v>2.6</v>
      </c>
      <c r="AS291">
        <v>3</v>
      </c>
      <c r="AT291">
        <v>0.6</v>
      </c>
      <c r="AU291">
        <v>8.1</v>
      </c>
      <c r="AV291">
        <v>50</v>
      </c>
      <c r="AW291">
        <v>3.3</v>
      </c>
      <c r="AY291" s="38">
        <f t="shared" si="72"/>
        <v>290</v>
      </c>
      <c r="AZ291" s="25" t="b">
        <f t="shared" si="73"/>
        <v>0</v>
      </c>
      <c r="BA291" s="25" t="b">
        <f t="shared" si="74"/>
        <v>0</v>
      </c>
      <c r="BB291" s="25">
        <f t="shared" si="75"/>
        <v>290</v>
      </c>
      <c r="BC291" s="25" t="b">
        <f t="shared" si="76"/>
        <v>0</v>
      </c>
    </row>
    <row r="292" spans="37:55" ht="16.05" customHeight="1">
      <c r="AK292" s="4">
        <v>291</v>
      </c>
      <c r="AL292" s="4">
        <v>1</v>
      </c>
      <c r="AM292" s="4">
        <v>1</v>
      </c>
      <c r="AN292" s="4">
        <v>2</v>
      </c>
      <c r="AO292" s="197" t="s">
        <v>2393</v>
      </c>
      <c r="AP292" s="198">
        <v>136.4</v>
      </c>
      <c r="AQ292">
        <v>4</v>
      </c>
      <c r="AR292">
        <v>2.6</v>
      </c>
      <c r="AS292">
        <v>3</v>
      </c>
      <c r="AT292">
        <v>40</v>
      </c>
      <c r="AU292">
        <v>6.03</v>
      </c>
      <c r="AV292">
        <v>50</v>
      </c>
      <c r="AW292">
        <v>3.3050000000000002</v>
      </c>
      <c r="AY292" s="38">
        <f t="shared" si="72"/>
        <v>291</v>
      </c>
      <c r="AZ292" s="25" t="b">
        <f t="shared" si="73"/>
        <v>0</v>
      </c>
      <c r="BA292" s="25" t="b">
        <f t="shared" si="74"/>
        <v>0</v>
      </c>
      <c r="BB292" s="25" t="b">
        <f t="shared" si="75"/>
        <v>0</v>
      </c>
      <c r="BC292" s="25" t="b">
        <f t="shared" si="76"/>
        <v>0</v>
      </c>
    </row>
    <row r="293" spans="37:55" ht="16.05" customHeight="1">
      <c r="AK293" s="4">
        <v>292</v>
      </c>
      <c r="AL293" s="4">
        <v>1</v>
      </c>
      <c r="AM293" s="4">
        <v>1</v>
      </c>
      <c r="AN293" s="4">
        <v>1</v>
      </c>
      <c r="AO293" s="197" t="s">
        <v>2394</v>
      </c>
      <c r="AP293" s="198">
        <v>124</v>
      </c>
      <c r="AQ293">
        <v>4</v>
      </c>
      <c r="AR293">
        <v>2.6</v>
      </c>
      <c r="AS293">
        <v>3</v>
      </c>
      <c r="AT293">
        <v>0.6</v>
      </c>
      <c r="AU293">
        <v>6.3</v>
      </c>
      <c r="AV293">
        <v>50</v>
      </c>
      <c r="AW293">
        <v>3.3</v>
      </c>
      <c r="AY293" s="38">
        <f t="shared" si="72"/>
        <v>292</v>
      </c>
      <c r="AZ293" s="25" t="b">
        <f t="shared" si="73"/>
        <v>0</v>
      </c>
      <c r="BA293" s="25" t="b">
        <f t="shared" si="74"/>
        <v>0</v>
      </c>
      <c r="BB293" s="25">
        <f t="shared" si="75"/>
        <v>292</v>
      </c>
      <c r="BC293" s="25" t="b">
        <f t="shared" si="76"/>
        <v>0</v>
      </c>
    </row>
    <row r="294" spans="37:55" ht="16.05" customHeight="1">
      <c r="AK294" s="4">
        <v>293</v>
      </c>
      <c r="AL294" s="4">
        <v>1</v>
      </c>
      <c r="AM294" s="4">
        <v>1</v>
      </c>
      <c r="AN294" s="4">
        <v>2</v>
      </c>
      <c r="AO294" s="197" t="s">
        <v>2395</v>
      </c>
      <c r="AP294" s="198">
        <v>136.4</v>
      </c>
      <c r="AQ294">
        <v>4</v>
      </c>
      <c r="AR294">
        <v>2.5</v>
      </c>
      <c r="AS294">
        <v>3</v>
      </c>
      <c r="AT294">
        <v>32</v>
      </c>
      <c r="AU294">
        <v>8.33</v>
      </c>
      <c r="AV294">
        <v>50</v>
      </c>
      <c r="AW294">
        <v>3.3050000000000002</v>
      </c>
      <c r="AY294" s="38">
        <f t="shared" si="72"/>
        <v>293</v>
      </c>
      <c r="AZ294" s="25" t="b">
        <f t="shared" si="73"/>
        <v>0</v>
      </c>
      <c r="BA294" s="25" t="b">
        <f t="shared" si="74"/>
        <v>0</v>
      </c>
      <c r="BB294" s="25" t="b">
        <f t="shared" si="75"/>
        <v>0</v>
      </c>
      <c r="BC294" s="25" t="b">
        <f t="shared" si="76"/>
        <v>0</v>
      </c>
    </row>
    <row r="295" spans="37:55" ht="16.05" customHeight="1">
      <c r="AK295" s="4">
        <v>294</v>
      </c>
      <c r="AL295" s="4">
        <v>1</v>
      </c>
      <c r="AM295" s="4">
        <v>1</v>
      </c>
      <c r="AN295" s="4">
        <v>2</v>
      </c>
      <c r="AO295" s="197" t="s">
        <v>2396</v>
      </c>
      <c r="AP295" s="198">
        <v>124</v>
      </c>
      <c r="AQ295">
        <v>4</v>
      </c>
      <c r="AR295">
        <v>2.5</v>
      </c>
      <c r="AS295">
        <v>3</v>
      </c>
      <c r="AT295">
        <v>32</v>
      </c>
      <c r="AU295">
        <v>6.75</v>
      </c>
      <c r="AV295">
        <v>50</v>
      </c>
      <c r="AW295">
        <v>3.3050000000000002</v>
      </c>
      <c r="AY295" s="38">
        <f t="shared" si="72"/>
        <v>294</v>
      </c>
      <c r="AZ295" s="25" t="b">
        <f t="shared" si="73"/>
        <v>0</v>
      </c>
      <c r="BA295" s="25" t="b">
        <f t="shared" si="74"/>
        <v>0</v>
      </c>
      <c r="BB295" s="25" t="b">
        <f t="shared" si="75"/>
        <v>0</v>
      </c>
      <c r="BC295" s="25" t="b">
        <f t="shared" si="76"/>
        <v>0</v>
      </c>
    </row>
    <row r="296" spans="37:55" ht="16.05" customHeight="1">
      <c r="AK296" s="4">
        <v>295</v>
      </c>
      <c r="AL296" s="4">
        <v>1</v>
      </c>
      <c r="AM296" s="4">
        <v>1</v>
      </c>
      <c r="AN296" s="4">
        <v>2</v>
      </c>
      <c r="AO296" s="197" t="s">
        <v>2397</v>
      </c>
      <c r="AP296" s="198">
        <v>150</v>
      </c>
      <c r="AQ296">
        <v>4</v>
      </c>
      <c r="AR296">
        <v>2.5</v>
      </c>
      <c r="AS296">
        <v>3</v>
      </c>
      <c r="AT296">
        <v>32</v>
      </c>
      <c r="AU296">
        <v>9.92</v>
      </c>
      <c r="AV296">
        <v>50</v>
      </c>
      <c r="AW296">
        <v>3.3050000000000002</v>
      </c>
      <c r="AY296" s="38">
        <f t="shared" si="72"/>
        <v>295</v>
      </c>
      <c r="AZ296" s="25" t="b">
        <f t="shared" si="73"/>
        <v>0</v>
      </c>
      <c r="BA296" s="25" t="b">
        <f t="shared" si="74"/>
        <v>0</v>
      </c>
      <c r="BB296" s="25" t="b">
        <f t="shared" si="75"/>
        <v>0</v>
      </c>
      <c r="BC296" s="25" t="b">
        <f t="shared" si="76"/>
        <v>0</v>
      </c>
    </row>
    <row r="297" spans="37:55" ht="16.05" customHeight="1">
      <c r="AK297" s="4">
        <v>296</v>
      </c>
      <c r="AL297" s="4">
        <v>1</v>
      </c>
      <c r="AM297" s="4">
        <v>1</v>
      </c>
      <c r="AN297" s="4">
        <v>2</v>
      </c>
      <c r="AO297" s="197" t="s">
        <v>2398</v>
      </c>
      <c r="AP297" s="198">
        <v>136.4</v>
      </c>
      <c r="AQ297">
        <v>4</v>
      </c>
      <c r="AR297">
        <v>2.4</v>
      </c>
      <c r="AS297">
        <v>3</v>
      </c>
      <c r="AT297">
        <v>44</v>
      </c>
      <c r="AU297">
        <v>5.48</v>
      </c>
      <c r="AV297">
        <v>50</v>
      </c>
      <c r="AW297">
        <v>2.9750000000000001</v>
      </c>
      <c r="AY297" s="38">
        <f t="shared" si="72"/>
        <v>296</v>
      </c>
      <c r="AZ297" s="25" t="b">
        <f t="shared" si="73"/>
        <v>0</v>
      </c>
      <c r="BA297" s="25" t="b">
        <f t="shared" si="74"/>
        <v>0</v>
      </c>
      <c r="BB297" s="25" t="b">
        <f t="shared" si="75"/>
        <v>0</v>
      </c>
      <c r="BC297" s="25" t="b">
        <f t="shared" si="76"/>
        <v>0</v>
      </c>
    </row>
    <row r="298" spans="37:55" ht="16.05" customHeight="1">
      <c r="AK298" s="4">
        <v>297</v>
      </c>
      <c r="AL298" s="4">
        <v>1</v>
      </c>
      <c r="AM298" s="4">
        <v>1</v>
      </c>
      <c r="AN298" s="4">
        <v>2</v>
      </c>
      <c r="AO298" s="197" t="s">
        <v>2399</v>
      </c>
      <c r="AP298" s="198">
        <v>150</v>
      </c>
      <c r="AQ298">
        <v>4</v>
      </c>
      <c r="AR298">
        <v>2.2999999999999998</v>
      </c>
      <c r="AS298">
        <v>3</v>
      </c>
      <c r="AT298">
        <v>40</v>
      </c>
      <c r="AU298">
        <v>8.57</v>
      </c>
      <c r="AV298">
        <v>50</v>
      </c>
      <c r="AW298">
        <v>2.9750000000000001</v>
      </c>
      <c r="AY298" s="38">
        <f t="shared" si="72"/>
        <v>297</v>
      </c>
      <c r="AZ298" s="25" t="b">
        <f t="shared" si="73"/>
        <v>0</v>
      </c>
      <c r="BA298" s="25" t="b">
        <f t="shared" si="74"/>
        <v>0</v>
      </c>
      <c r="BB298" s="25" t="b">
        <f t="shared" si="75"/>
        <v>0</v>
      </c>
      <c r="BC298" s="25" t="b">
        <f t="shared" si="76"/>
        <v>0</v>
      </c>
    </row>
    <row r="299" spans="37:55" ht="16.05" customHeight="1">
      <c r="AK299" s="4">
        <v>298</v>
      </c>
      <c r="AL299" s="4">
        <v>1</v>
      </c>
      <c r="AM299" s="4">
        <v>1</v>
      </c>
      <c r="AN299" s="4">
        <v>1</v>
      </c>
      <c r="AO299" s="197" t="s">
        <v>2400</v>
      </c>
      <c r="AP299" s="198">
        <v>150</v>
      </c>
      <c r="AQ299">
        <v>4</v>
      </c>
      <c r="AR299">
        <v>2.2999999999999998</v>
      </c>
      <c r="AS299">
        <v>3</v>
      </c>
      <c r="AT299">
        <v>0.5</v>
      </c>
      <c r="AU299">
        <v>8.25</v>
      </c>
      <c r="AV299">
        <v>50</v>
      </c>
      <c r="AW299">
        <v>2.8</v>
      </c>
      <c r="AY299" s="38">
        <f t="shared" si="72"/>
        <v>298</v>
      </c>
      <c r="AZ299" s="25" t="b">
        <f t="shared" si="73"/>
        <v>0</v>
      </c>
      <c r="BA299" s="25" t="b">
        <f t="shared" si="74"/>
        <v>0</v>
      </c>
      <c r="BB299" s="25">
        <f t="shared" si="75"/>
        <v>298</v>
      </c>
      <c r="BC299" s="25" t="b">
        <f t="shared" si="76"/>
        <v>0</v>
      </c>
    </row>
    <row r="300" spans="37:55" ht="16.05" customHeight="1">
      <c r="AK300" s="4">
        <v>299</v>
      </c>
      <c r="AL300" s="4">
        <v>1</v>
      </c>
      <c r="AM300" s="4">
        <v>1</v>
      </c>
      <c r="AN300" s="4">
        <v>2</v>
      </c>
      <c r="AO300" s="197" t="s">
        <v>2401</v>
      </c>
      <c r="AP300" s="198">
        <v>136.4</v>
      </c>
      <c r="AQ300">
        <v>4</v>
      </c>
      <c r="AR300">
        <v>2.2999999999999998</v>
      </c>
      <c r="AS300">
        <v>3</v>
      </c>
      <c r="AT300">
        <v>40</v>
      </c>
      <c r="AU300">
        <v>7.3</v>
      </c>
      <c r="AV300">
        <v>50</v>
      </c>
      <c r="AW300">
        <v>2.9750000000000001</v>
      </c>
      <c r="AY300" s="38">
        <f t="shared" si="72"/>
        <v>299</v>
      </c>
      <c r="AZ300" s="25" t="b">
        <f t="shared" si="73"/>
        <v>0</v>
      </c>
      <c r="BA300" s="25" t="b">
        <f t="shared" si="74"/>
        <v>0</v>
      </c>
      <c r="BB300" s="25" t="b">
        <f t="shared" si="75"/>
        <v>0</v>
      </c>
      <c r="BC300" s="25" t="b">
        <f t="shared" si="76"/>
        <v>0</v>
      </c>
    </row>
    <row r="301" spans="37:55" ht="16.05" customHeight="1">
      <c r="AK301" s="4">
        <v>300</v>
      </c>
      <c r="AL301" s="4">
        <v>1</v>
      </c>
      <c r="AM301" s="4">
        <v>1</v>
      </c>
      <c r="AN301" s="4">
        <v>1</v>
      </c>
      <c r="AO301" s="197" t="s">
        <v>2402</v>
      </c>
      <c r="AP301" s="198">
        <v>136.4</v>
      </c>
      <c r="AQ301">
        <v>4</v>
      </c>
      <c r="AR301">
        <v>2.2999999999999998</v>
      </c>
      <c r="AS301">
        <v>3</v>
      </c>
      <c r="AT301">
        <v>0.5</v>
      </c>
      <c r="AU301">
        <v>6.75</v>
      </c>
      <c r="AV301">
        <v>50</v>
      </c>
      <c r="AW301">
        <v>2.8</v>
      </c>
      <c r="AY301" s="38">
        <f t="shared" si="72"/>
        <v>300</v>
      </c>
      <c r="AZ301" s="25" t="b">
        <f t="shared" si="73"/>
        <v>0</v>
      </c>
      <c r="BA301" s="25" t="b">
        <f t="shared" si="74"/>
        <v>0</v>
      </c>
      <c r="BB301" s="25">
        <f t="shared" si="75"/>
        <v>300</v>
      </c>
      <c r="BC301" s="25" t="b">
        <f t="shared" si="76"/>
        <v>0</v>
      </c>
    </row>
    <row r="302" spans="37:55" ht="16.05" customHeight="1">
      <c r="AK302" s="4">
        <v>301</v>
      </c>
      <c r="AL302" s="4">
        <v>1</v>
      </c>
      <c r="AM302" s="4">
        <v>1</v>
      </c>
      <c r="AN302" s="4">
        <v>2</v>
      </c>
      <c r="AO302" s="197" t="s">
        <v>2403</v>
      </c>
      <c r="AP302" s="198">
        <v>124</v>
      </c>
      <c r="AQ302">
        <v>4</v>
      </c>
      <c r="AR302">
        <v>2.2999999999999998</v>
      </c>
      <c r="AS302">
        <v>3</v>
      </c>
      <c r="AT302">
        <v>40</v>
      </c>
      <c r="AU302">
        <v>5.4</v>
      </c>
      <c r="AV302">
        <v>50</v>
      </c>
      <c r="AW302">
        <v>2.9750000000000001</v>
      </c>
      <c r="AY302" s="38">
        <f t="shared" si="72"/>
        <v>301</v>
      </c>
      <c r="AZ302" s="25" t="b">
        <f t="shared" si="73"/>
        <v>0</v>
      </c>
      <c r="BA302" s="25" t="b">
        <f t="shared" si="74"/>
        <v>0</v>
      </c>
      <c r="BB302" s="25" t="b">
        <f t="shared" si="75"/>
        <v>0</v>
      </c>
      <c r="BC302" s="25" t="b">
        <f t="shared" si="76"/>
        <v>0</v>
      </c>
    </row>
    <row r="303" spans="37:55" ht="16.05" customHeight="1">
      <c r="AK303" s="4">
        <v>302</v>
      </c>
      <c r="AL303" s="4">
        <v>1</v>
      </c>
      <c r="AM303" s="4">
        <v>1</v>
      </c>
      <c r="AN303" s="4">
        <v>1</v>
      </c>
      <c r="AO303" s="197" t="s">
        <v>2404</v>
      </c>
      <c r="AP303" s="198">
        <v>124</v>
      </c>
      <c r="AQ303">
        <v>4</v>
      </c>
      <c r="AR303">
        <v>2.2999999999999998</v>
      </c>
      <c r="AS303">
        <v>3</v>
      </c>
      <c r="AT303">
        <v>0.5</v>
      </c>
      <c r="AU303">
        <v>5.25</v>
      </c>
      <c r="AV303">
        <v>50</v>
      </c>
      <c r="AW303">
        <v>2.8</v>
      </c>
      <c r="AY303" s="38">
        <f t="shared" si="72"/>
        <v>302</v>
      </c>
      <c r="AZ303" s="25" t="b">
        <f t="shared" si="73"/>
        <v>0</v>
      </c>
      <c r="BA303" s="25" t="b">
        <f t="shared" si="74"/>
        <v>0</v>
      </c>
      <c r="BB303" s="25">
        <f t="shared" si="75"/>
        <v>302</v>
      </c>
      <c r="BC303" s="25" t="b">
        <f t="shared" si="76"/>
        <v>0</v>
      </c>
    </row>
    <row r="304" spans="37:55" ht="16.05" customHeight="1">
      <c r="AK304" s="4">
        <v>303</v>
      </c>
      <c r="AL304" s="4">
        <v>1</v>
      </c>
      <c r="AM304" s="4">
        <v>1</v>
      </c>
      <c r="AN304" s="4">
        <v>1</v>
      </c>
      <c r="AO304" s="197" t="s">
        <v>2405</v>
      </c>
      <c r="AP304" s="198">
        <v>136.4</v>
      </c>
      <c r="AQ304">
        <v>4</v>
      </c>
      <c r="AR304">
        <v>1.9</v>
      </c>
      <c r="AS304">
        <v>3</v>
      </c>
      <c r="AT304">
        <v>0.45</v>
      </c>
      <c r="AU304">
        <v>5.62</v>
      </c>
      <c r="AV304">
        <v>50</v>
      </c>
      <c r="AW304">
        <v>2.2999999999999998</v>
      </c>
      <c r="AY304" s="38">
        <f t="shared" si="72"/>
        <v>303</v>
      </c>
      <c r="AZ304" s="25" t="b">
        <f t="shared" si="73"/>
        <v>0</v>
      </c>
      <c r="BA304" s="25" t="b">
        <f t="shared" si="74"/>
        <v>0</v>
      </c>
      <c r="BB304" s="25">
        <f t="shared" si="75"/>
        <v>303</v>
      </c>
      <c r="BC304" s="25" t="b">
        <f t="shared" si="76"/>
        <v>0</v>
      </c>
    </row>
    <row r="305" spans="37:55" ht="16.05" customHeight="1">
      <c r="AK305" s="4">
        <v>304</v>
      </c>
      <c r="AL305" s="4">
        <v>1</v>
      </c>
      <c r="AM305" s="4">
        <v>1</v>
      </c>
      <c r="AN305" s="4">
        <v>1</v>
      </c>
      <c r="AO305" s="197" t="s">
        <v>2406</v>
      </c>
      <c r="AP305" s="198">
        <v>124</v>
      </c>
      <c r="AQ305">
        <v>4</v>
      </c>
      <c r="AR305">
        <v>1.9</v>
      </c>
      <c r="AS305">
        <v>3</v>
      </c>
      <c r="AT305">
        <v>0.45</v>
      </c>
      <c r="AU305">
        <v>4.2699999999999996</v>
      </c>
      <c r="AV305">
        <v>50</v>
      </c>
      <c r="AW305">
        <v>2.2999999999999998</v>
      </c>
      <c r="AY305" s="38">
        <f t="shared" si="72"/>
        <v>304</v>
      </c>
      <c r="AZ305" s="25" t="b">
        <f t="shared" si="73"/>
        <v>0</v>
      </c>
      <c r="BA305" s="25" t="b">
        <f t="shared" si="74"/>
        <v>0</v>
      </c>
      <c r="BB305" s="25">
        <f t="shared" si="75"/>
        <v>304</v>
      </c>
      <c r="BC305" s="25" t="b">
        <f t="shared" si="76"/>
        <v>0</v>
      </c>
    </row>
    <row r="306" spans="37:55" ht="16.05" customHeight="1">
      <c r="AK306" s="4">
        <v>305</v>
      </c>
      <c r="AL306" s="4">
        <v>1</v>
      </c>
      <c r="AM306" s="4">
        <v>1</v>
      </c>
      <c r="AN306" s="4">
        <v>1</v>
      </c>
      <c r="AO306" s="197" t="s">
        <v>2407</v>
      </c>
      <c r="AP306" s="198">
        <v>136.4</v>
      </c>
      <c r="AQ306">
        <v>4</v>
      </c>
      <c r="AR306">
        <v>1.6</v>
      </c>
      <c r="AS306">
        <v>3</v>
      </c>
      <c r="AT306">
        <v>0.45</v>
      </c>
      <c r="AU306">
        <v>5.17</v>
      </c>
      <c r="AV306">
        <v>50</v>
      </c>
      <c r="AW306">
        <v>2</v>
      </c>
      <c r="AY306" s="38">
        <f t="shared" si="72"/>
        <v>305</v>
      </c>
      <c r="AZ306" s="25" t="b">
        <f t="shared" si="73"/>
        <v>0</v>
      </c>
      <c r="BA306" s="25" t="b">
        <f t="shared" si="74"/>
        <v>0</v>
      </c>
      <c r="BB306" s="25">
        <f t="shared" si="75"/>
        <v>305</v>
      </c>
      <c r="BC306" s="25" t="b">
        <f t="shared" si="76"/>
        <v>0</v>
      </c>
    </row>
    <row r="307" spans="37:55" ht="16.05" customHeight="1">
      <c r="AK307" s="4">
        <v>306</v>
      </c>
      <c r="AL307" s="4">
        <v>1</v>
      </c>
      <c r="AM307" s="4">
        <v>1</v>
      </c>
      <c r="AN307" s="4">
        <v>1</v>
      </c>
      <c r="AO307" s="197" t="s">
        <v>2408</v>
      </c>
      <c r="AP307" s="198">
        <v>124</v>
      </c>
      <c r="AQ307">
        <v>4</v>
      </c>
      <c r="AR307">
        <v>1.6</v>
      </c>
      <c r="AS307">
        <v>3</v>
      </c>
      <c r="AT307">
        <v>0.45</v>
      </c>
      <c r="AU307">
        <v>3.82</v>
      </c>
      <c r="AV307">
        <v>50</v>
      </c>
      <c r="AW307">
        <v>2</v>
      </c>
      <c r="AY307" s="38">
        <f t="shared" si="72"/>
        <v>306</v>
      </c>
      <c r="AZ307" s="25" t="b">
        <f t="shared" si="73"/>
        <v>0</v>
      </c>
      <c r="BA307" s="25" t="b">
        <f t="shared" si="74"/>
        <v>0</v>
      </c>
      <c r="BB307" s="25">
        <f t="shared" si="75"/>
        <v>306</v>
      </c>
      <c r="BC307" s="25" t="b">
        <f t="shared" si="76"/>
        <v>0</v>
      </c>
    </row>
    <row r="308" spans="37:55" ht="16.05" customHeight="1">
      <c r="AK308" s="4">
        <v>307</v>
      </c>
      <c r="AL308" s="4">
        <v>1</v>
      </c>
      <c r="AM308" s="4">
        <v>1</v>
      </c>
      <c r="AN308" s="4">
        <v>1</v>
      </c>
      <c r="AO308" s="197" t="s">
        <v>2409</v>
      </c>
      <c r="AP308" s="198">
        <v>136.4</v>
      </c>
      <c r="AQ308">
        <v>4</v>
      </c>
      <c r="AR308">
        <v>1.5</v>
      </c>
      <c r="AS308">
        <v>3</v>
      </c>
      <c r="AT308">
        <v>0.4</v>
      </c>
      <c r="AU308">
        <v>4.5999999999999996</v>
      </c>
      <c r="AV308">
        <v>50</v>
      </c>
      <c r="AW308">
        <v>1.8</v>
      </c>
      <c r="AY308" s="38">
        <f t="shared" si="72"/>
        <v>307</v>
      </c>
      <c r="AZ308" s="25" t="b">
        <f t="shared" si="73"/>
        <v>0</v>
      </c>
      <c r="BA308" s="25" t="b">
        <f t="shared" si="74"/>
        <v>0</v>
      </c>
      <c r="BB308" s="25">
        <f t="shared" si="75"/>
        <v>307</v>
      </c>
      <c r="BC308" s="25" t="b">
        <f t="shared" si="76"/>
        <v>0</v>
      </c>
    </row>
    <row r="309" spans="37:55" ht="16.05" customHeight="1">
      <c r="AK309" s="4">
        <v>308</v>
      </c>
      <c r="AL309" s="4">
        <v>1</v>
      </c>
      <c r="AM309" s="4">
        <v>1</v>
      </c>
      <c r="AN309" s="4">
        <v>1</v>
      </c>
      <c r="AO309" s="197" t="s">
        <v>2410</v>
      </c>
      <c r="AP309" s="198">
        <v>124</v>
      </c>
      <c r="AQ309">
        <v>4</v>
      </c>
      <c r="AR309">
        <v>1.5</v>
      </c>
      <c r="AS309">
        <v>3</v>
      </c>
      <c r="AT309">
        <v>0.4</v>
      </c>
      <c r="AU309">
        <v>3.4</v>
      </c>
      <c r="AV309">
        <v>50</v>
      </c>
      <c r="AW309">
        <v>1.8</v>
      </c>
      <c r="AY309" s="38">
        <f t="shared" si="72"/>
        <v>308</v>
      </c>
      <c r="AZ309" s="25" t="b">
        <f t="shared" si="73"/>
        <v>0</v>
      </c>
      <c r="BA309" s="25" t="b">
        <f t="shared" si="74"/>
        <v>0</v>
      </c>
      <c r="BB309" s="25">
        <f t="shared" si="75"/>
        <v>308</v>
      </c>
      <c r="BC309" s="25" t="b">
        <f t="shared" si="76"/>
        <v>0</v>
      </c>
    </row>
    <row r="310" spans="37:55" ht="16.05" customHeight="1">
      <c r="AK310" s="4">
        <v>309</v>
      </c>
      <c r="AL310" s="4">
        <v>1</v>
      </c>
      <c r="AO310" s="197" t="s">
        <v>2411</v>
      </c>
      <c r="AP310" s="198">
        <v>473.8</v>
      </c>
      <c r="AQ310">
        <v>16</v>
      </c>
      <c r="AR310">
        <v>16</v>
      </c>
      <c r="AS310">
        <v>4</v>
      </c>
      <c r="AU310">
        <v>35</v>
      </c>
      <c r="AV310">
        <v>100</v>
      </c>
      <c r="AY310" s="38">
        <f t="shared" si="72"/>
        <v>309</v>
      </c>
      <c r="AZ310" s="25" t="b">
        <f t="shared" si="73"/>
        <v>0</v>
      </c>
      <c r="BA310" s="25">
        <f t="shared" si="74"/>
        <v>309</v>
      </c>
      <c r="BB310" s="25" t="b">
        <f t="shared" si="75"/>
        <v>0</v>
      </c>
      <c r="BC310" s="25" t="b">
        <f t="shared" si="76"/>
        <v>0</v>
      </c>
    </row>
    <row r="311" spans="37:55" ht="16.05" customHeight="1">
      <c r="AK311" s="4">
        <v>310</v>
      </c>
      <c r="AL311" s="4">
        <v>1</v>
      </c>
      <c r="AO311" s="197" t="s">
        <v>2412</v>
      </c>
      <c r="AP311" s="198">
        <v>329.3</v>
      </c>
      <c r="AQ311">
        <v>12</v>
      </c>
      <c r="AR311">
        <v>12</v>
      </c>
      <c r="AS311">
        <v>4</v>
      </c>
      <c r="AU311">
        <v>26.25</v>
      </c>
      <c r="AV311">
        <v>83</v>
      </c>
      <c r="AY311" s="38">
        <f t="shared" si="72"/>
        <v>310</v>
      </c>
      <c r="AZ311" s="25" t="b">
        <f t="shared" si="73"/>
        <v>0</v>
      </c>
      <c r="BA311" s="25">
        <f t="shared" si="74"/>
        <v>310</v>
      </c>
      <c r="BB311" s="25" t="b">
        <f t="shared" si="75"/>
        <v>0</v>
      </c>
      <c r="BC311" s="25" t="b">
        <f t="shared" si="76"/>
        <v>0</v>
      </c>
    </row>
    <row r="312" spans="37:55" ht="16.05" customHeight="1">
      <c r="AK312" s="4">
        <v>311</v>
      </c>
      <c r="AL312" s="4">
        <v>1</v>
      </c>
      <c r="AO312" s="197" t="s">
        <v>2413</v>
      </c>
      <c r="AP312" s="198">
        <v>280.39999999999998</v>
      </c>
      <c r="AQ312">
        <v>10</v>
      </c>
      <c r="AR312">
        <v>10</v>
      </c>
      <c r="AS312">
        <v>4</v>
      </c>
      <c r="AU312">
        <v>21.5</v>
      </c>
      <c r="AV312">
        <v>76</v>
      </c>
      <c r="AY312" s="38">
        <f t="shared" si="72"/>
        <v>311</v>
      </c>
      <c r="AZ312" s="25" t="b">
        <f t="shared" si="73"/>
        <v>0</v>
      </c>
      <c r="BA312" s="25" t="b">
        <f t="shared" si="74"/>
        <v>0</v>
      </c>
      <c r="BB312" s="25" t="b">
        <f t="shared" si="75"/>
        <v>0</v>
      </c>
      <c r="BC312" s="25" t="b">
        <f t="shared" si="76"/>
        <v>0</v>
      </c>
    </row>
  </sheetData>
  <sheetProtection algorithmName="SHA-512" hashValue="Zw7kzCILIgR/zhR183ULqkkhnEUEZWhvkp1QoI14JP22GinGHZHYgzR8At2YbNNPQlT+SWX2rL/1yjAOT1WqeQ==" saltValue="hG6hKxgiEstS+QCmoMPFiw==" spinCount="100000" sheet="1" objects="1" scenarios="1"/>
  <mergeCells count="2">
    <mergeCell ref="B2:D3"/>
    <mergeCell ref="H14:J14"/>
  </mergeCells>
  <phoneticPr fontId="4"/>
  <conditionalFormatting sqref="C21:C26">
    <cfRule type="expression" dxfId="11" priority="18" stopIfTrue="1">
      <formula>AND(D21&gt;0)</formula>
    </cfRule>
  </conditionalFormatting>
  <conditionalFormatting sqref="C20">
    <cfRule type="expression" dxfId="10" priority="16" stopIfTrue="1">
      <formula>AND(D20&gt;0)</formula>
    </cfRule>
  </conditionalFormatting>
  <conditionalFormatting sqref="C19">
    <cfRule type="expression" dxfId="9" priority="14" stopIfTrue="1">
      <formula>AND(D19&gt;0)</formula>
    </cfRule>
  </conditionalFormatting>
  <conditionalFormatting sqref="G21:G26">
    <cfRule type="expression" dxfId="8" priority="13" stopIfTrue="1">
      <formula>AND(H21&gt;0)</formula>
    </cfRule>
  </conditionalFormatting>
  <conditionalFormatting sqref="G20">
    <cfRule type="expression" dxfId="7" priority="12" stopIfTrue="1">
      <formula>AND(H20&gt;0)</formula>
    </cfRule>
  </conditionalFormatting>
  <conditionalFormatting sqref="G19">
    <cfRule type="expression" dxfId="6" priority="11" stopIfTrue="1">
      <formula>AND(H19&gt;0)</formula>
    </cfRule>
  </conditionalFormatting>
  <conditionalFormatting sqref="D31">
    <cfRule type="expression" dxfId="5" priority="7" stopIfTrue="1">
      <formula>AND(D31&gt;0)</formula>
    </cfRule>
  </conditionalFormatting>
  <conditionalFormatting sqref="D32">
    <cfRule type="expression" dxfId="4" priority="6" stopIfTrue="1">
      <formula>AND(D32&gt;0)</formula>
    </cfRule>
  </conditionalFormatting>
  <conditionalFormatting sqref="D33">
    <cfRule type="expression" dxfId="3" priority="5" stopIfTrue="1">
      <formula>AND(D33&gt;0)</formula>
    </cfRule>
  </conditionalFormatting>
  <conditionalFormatting sqref="H31">
    <cfRule type="expression" dxfId="2" priority="4" stopIfTrue="1">
      <formula>AND(H31&gt;0)</formula>
    </cfRule>
  </conditionalFormatting>
  <conditionalFormatting sqref="H32">
    <cfRule type="expression" dxfId="1" priority="3" stopIfTrue="1">
      <formula>AND(H32&gt;0)</formula>
    </cfRule>
  </conditionalFormatting>
  <conditionalFormatting sqref="H33">
    <cfRule type="expression" dxfId="0" priority="1" stopIfTrue="1">
      <formula>AND(H33&gt;0)</formula>
    </cfRule>
  </conditionalFormatting>
  <hyperlinks>
    <hyperlink ref="J2" r:id="rId1"/>
    <hyperlink ref="J3" r:id="rId2"/>
  </hyperlinks>
  <pageMargins left="0" right="0" top="0" bottom="0" header="0" footer="0"/>
  <pageSetup paperSize="9" scale="81" orientation="landscape" blackAndWhite="1" horizontalDpi="4294967292" verticalDpi="4294967292"/>
  <headerFooter alignWithMargins="0"/>
  <ignoredErrors>
    <ignoredError sqref="CB13" emptyCellReference="1"/>
    <ignoredError sqref="BI102 BT110"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7" r:id="rId5" name="Nedrullningsbar listruta 3">
              <controlPr defaultSize="0" autoLine="0" autoPict="0">
                <anchor moveWithCells="1">
                  <from>
                    <xdr:col>1</xdr:col>
                    <xdr:colOff>15240</xdr:colOff>
                    <xdr:row>4</xdr:row>
                    <xdr:rowOff>38100</xdr:rowOff>
                  </from>
                  <to>
                    <xdr:col>4</xdr:col>
                    <xdr:colOff>0</xdr:colOff>
                    <xdr:row>5</xdr:row>
                    <xdr:rowOff>53340</xdr:rowOff>
                  </to>
                </anchor>
              </controlPr>
            </control>
          </mc:Choice>
        </mc:AlternateContent>
        <mc:AlternateContent xmlns:mc="http://schemas.openxmlformats.org/markup-compatibility/2006">
          <mc:Choice Requires="x14">
            <control shapeId="1028" r:id="rId6" name="Nedrullningsbar listruta 4">
              <controlPr defaultSize="0" autoLine="0" autoPict="0">
                <anchor moveWithCells="1">
                  <from>
                    <xdr:col>1</xdr:col>
                    <xdr:colOff>15240</xdr:colOff>
                    <xdr:row>6</xdr:row>
                    <xdr:rowOff>129540</xdr:rowOff>
                  </from>
                  <to>
                    <xdr:col>4</xdr:col>
                    <xdr:colOff>0</xdr:colOff>
                    <xdr:row>7</xdr:row>
                    <xdr:rowOff>129540</xdr:rowOff>
                  </to>
                </anchor>
              </controlPr>
            </control>
          </mc:Choice>
        </mc:AlternateContent>
        <mc:AlternateContent xmlns:mc="http://schemas.openxmlformats.org/markup-compatibility/2006">
          <mc:Choice Requires="x14">
            <control shapeId="1406" r:id="rId7" name="Nedrullningsbar listruta 382">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mc:AlternateContent xmlns:mc="http://schemas.openxmlformats.org/markup-compatibility/2006">
          <mc:Choice Requires="x14">
            <control shapeId="1285" r:id="rId8" name="Nedrullningsbar listruta 261">
              <controlPr defaultSize="0" autoLine="0" autoPict="0">
                <anchor moveWithCells="1">
                  <from>
                    <xdr:col>7</xdr:col>
                    <xdr:colOff>15240</xdr:colOff>
                    <xdr:row>15</xdr:row>
                    <xdr:rowOff>22860</xdr:rowOff>
                  </from>
                  <to>
                    <xdr:col>10</xdr:col>
                    <xdr:colOff>0</xdr:colOff>
                    <xdr:row>16</xdr:row>
                    <xdr:rowOff>38100</xdr:rowOff>
                  </to>
                </anchor>
              </controlPr>
            </control>
          </mc:Choice>
        </mc:AlternateContent>
        <mc:AlternateContent xmlns:mc="http://schemas.openxmlformats.org/markup-compatibility/2006">
          <mc:Choice Requires="x14">
            <control shapeId="1405" r:id="rId9" name="Nedrullningsbar listruta 381">
              <controlPr defaultSize="0" autoLine="0" autoPict="0">
                <anchor moveWithCells="1">
                  <from>
                    <xdr:col>9</xdr:col>
                    <xdr:colOff>1996440</xdr:colOff>
                    <xdr:row>9</xdr:row>
                    <xdr:rowOff>228600</xdr:rowOff>
                  </from>
                  <to>
                    <xdr:col>10</xdr:col>
                    <xdr:colOff>22860</xdr:colOff>
                    <xdr:row>10</xdr:row>
                    <xdr:rowOff>243840</xdr:rowOff>
                  </to>
                </anchor>
              </controlPr>
            </control>
          </mc:Choice>
        </mc:AlternateContent>
        <mc:AlternateContent xmlns:mc="http://schemas.openxmlformats.org/markup-compatibility/2006">
          <mc:Choice Requires="x14">
            <control shapeId="1407" r:id="rId10" name="Nedrullningsbar listruta -1023">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mc:AlternateContent xmlns:mc="http://schemas.openxmlformats.org/markup-compatibility/2006">
          <mc:Choice Requires="x14">
            <control shapeId="1408" r:id="rId11" name="Drop Down 384">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mc:AlternateContent xmlns:mc="http://schemas.openxmlformats.org/markup-compatibility/2006">
          <mc:Choice Requires="x14">
            <control shapeId="1409" r:id="rId12" name="Nedrullningsbar listruta 385">
              <controlPr defaultSize="0" autoLine="0" autoPict="0">
                <anchor moveWithCells="1">
                  <from>
                    <xdr:col>1</xdr:col>
                    <xdr:colOff>22860</xdr:colOff>
                    <xdr:row>15</xdr:row>
                    <xdr:rowOff>15240</xdr:rowOff>
                  </from>
                  <to>
                    <xdr:col>4</xdr:col>
                    <xdr:colOff>15240</xdr:colOff>
                    <xdr:row>16</xdr:row>
                    <xdr:rowOff>22860</xdr:rowOff>
                  </to>
                </anchor>
              </controlPr>
            </control>
          </mc:Choice>
        </mc:AlternateContent>
        <mc:AlternateContent xmlns:mc="http://schemas.openxmlformats.org/markup-compatibility/2006">
          <mc:Choice Requires="x14">
            <control shapeId="1410" r:id="rId13" name="Nedrullningsbar listruta 386">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mc:AlternateContent xmlns:mc="http://schemas.openxmlformats.org/markup-compatibility/2006">
          <mc:Choice Requires="x14">
            <control shapeId="1411" r:id="rId14" name="Nedrullningsbar listruta 387">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mc:AlternateContent xmlns:mc="http://schemas.openxmlformats.org/markup-compatibility/2006">
          <mc:Choice Requires="x14">
            <control shapeId="1412" r:id="rId15" name="Nedrullningsbar listruta 388">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mc:AlternateContent xmlns:mc="http://schemas.openxmlformats.org/markup-compatibility/2006">
          <mc:Choice Requires="x14">
            <control shapeId="1413" r:id="rId16" name="Nedrullningsbar listruta 389">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mc:AlternateContent xmlns:mc="http://schemas.openxmlformats.org/markup-compatibility/2006">
          <mc:Choice Requires="x14">
            <control shapeId="1414" r:id="rId17" name="Nedrullningsbar listruta 390">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mc:AlternateContent xmlns:mc="http://schemas.openxmlformats.org/markup-compatibility/2006">
          <mc:Choice Requires="x14">
            <control shapeId="1415" r:id="rId18" name="Nedrullningsbar listruta 391">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mc:AlternateContent xmlns:mc="http://schemas.openxmlformats.org/markup-compatibility/2006">
          <mc:Choice Requires="x14">
            <control shapeId="1416" r:id="rId19" name="Drop Down 392">
              <controlPr defaultSize="0" autoLine="0" autoPict="0">
                <anchor moveWithCells="1">
                  <from>
                    <xdr:col>1</xdr:col>
                    <xdr:colOff>15240</xdr:colOff>
                    <xdr:row>15</xdr:row>
                    <xdr:rowOff>7620</xdr:rowOff>
                  </from>
                  <to>
                    <xdr:col>2</xdr:col>
                    <xdr:colOff>251460</xdr:colOff>
                    <xdr:row>16</xdr:row>
                    <xdr:rowOff>0</xdr:rowOff>
                  </to>
                </anchor>
              </controlPr>
            </control>
          </mc:Choice>
        </mc:AlternateContent>
        <mc:AlternateContent xmlns:mc="http://schemas.openxmlformats.org/markup-compatibility/2006">
          <mc:Choice Requires="x14">
            <control shapeId="2" r:id="rId20" name="Drop Down -1022">
              <controlPr defaultSize="0" autoLine="0" autoPict="0">
                <anchor moveWithCells="1">
                  <from>
                    <xdr:col>1</xdr:col>
                    <xdr:colOff>22860</xdr:colOff>
                    <xdr:row>15</xdr:row>
                    <xdr:rowOff>15240</xdr:rowOff>
                  </from>
                  <to>
                    <xdr:col>2</xdr:col>
                    <xdr:colOff>419100</xdr:colOff>
                    <xdr:row>16</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Z35"/>
  <sheetViews>
    <sheetView showGridLines="0" showRowColHeaders="0" topLeftCell="A19" zoomScale="125" zoomScaleNormal="125" zoomScalePageLayoutView="125" workbookViewId="0">
      <selection activeCell="B30" sqref="B30"/>
    </sheetView>
  </sheetViews>
  <sheetFormatPr defaultColWidth="10.90625" defaultRowHeight="12.6"/>
  <cols>
    <col min="1" max="1" width="6.1796875" customWidth="1"/>
    <col min="2" max="2" width="60.6328125" customWidth="1"/>
    <col min="3" max="3" width="6.1796875" customWidth="1"/>
    <col min="4" max="4" width="10.81640625" hidden="1" customWidth="1"/>
    <col min="5" max="5" width="60.6328125" style="134" hidden="1" customWidth="1"/>
    <col min="6" max="13" width="60.6328125" hidden="1" customWidth="1"/>
    <col min="14" max="14" width="57.1796875" hidden="1" customWidth="1"/>
    <col min="15" max="26" width="60.6328125" hidden="1" customWidth="1"/>
    <col min="27" max="37" width="10.81640625" customWidth="1"/>
  </cols>
  <sheetData>
    <row r="1" spans="1:26">
      <c r="A1" s="52"/>
      <c r="B1" s="52"/>
      <c r="C1" s="52"/>
      <c r="E1" s="137" t="s">
        <v>1846</v>
      </c>
      <c r="F1" s="36" t="s">
        <v>644</v>
      </c>
      <c r="G1" s="36" t="s">
        <v>588</v>
      </c>
      <c r="H1" s="36" t="s">
        <v>643</v>
      </c>
      <c r="I1" s="36" t="s">
        <v>589</v>
      </c>
      <c r="J1" s="36" t="s">
        <v>902</v>
      </c>
      <c r="K1" s="36" t="s">
        <v>1657</v>
      </c>
      <c r="L1" s="36" t="s">
        <v>654</v>
      </c>
      <c r="M1" s="36" t="s">
        <v>655</v>
      </c>
      <c r="N1" s="36" t="s">
        <v>1656</v>
      </c>
      <c r="O1" s="36" t="s">
        <v>652</v>
      </c>
      <c r="P1" s="36" t="s">
        <v>656</v>
      </c>
      <c r="Q1" s="36" t="s">
        <v>657</v>
      </c>
      <c r="R1" s="36" t="s">
        <v>653</v>
      </c>
      <c r="S1" s="36" t="s">
        <v>1132</v>
      </c>
      <c r="T1" s="36" t="s">
        <v>645</v>
      </c>
      <c r="U1" s="36" t="s">
        <v>807</v>
      </c>
      <c r="V1" s="36" t="s">
        <v>1344</v>
      </c>
      <c r="W1" s="91" t="s">
        <v>1472</v>
      </c>
      <c r="X1" s="36" t="s">
        <v>419</v>
      </c>
      <c r="Y1" s="102" t="s">
        <v>147</v>
      </c>
      <c r="Z1" s="36" t="s">
        <v>1591</v>
      </c>
    </row>
    <row r="2" spans="1:26">
      <c r="A2" s="52"/>
      <c r="B2" s="52"/>
      <c r="C2" s="52"/>
      <c r="E2" s="9">
        <v>1</v>
      </c>
      <c r="F2" s="9">
        <v>2</v>
      </c>
      <c r="G2" s="9">
        <v>3</v>
      </c>
      <c r="H2" s="9">
        <v>4</v>
      </c>
      <c r="I2" s="9">
        <v>5</v>
      </c>
      <c r="J2" s="9">
        <v>6</v>
      </c>
      <c r="K2" s="9">
        <v>7</v>
      </c>
      <c r="L2" s="9">
        <v>8</v>
      </c>
      <c r="M2" s="9">
        <v>9</v>
      </c>
      <c r="N2" s="9">
        <v>10</v>
      </c>
      <c r="O2" s="9">
        <v>11</v>
      </c>
      <c r="P2" s="9">
        <v>12</v>
      </c>
      <c r="Q2" s="9">
        <v>13</v>
      </c>
      <c r="R2" s="9">
        <v>14</v>
      </c>
      <c r="S2" s="9">
        <v>15</v>
      </c>
      <c r="T2" s="9">
        <v>16</v>
      </c>
      <c r="U2" s="9">
        <v>17</v>
      </c>
      <c r="V2" s="9">
        <v>18</v>
      </c>
      <c r="W2" s="9">
        <v>19</v>
      </c>
      <c r="X2" s="9">
        <v>20</v>
      </c>
      <c r="Y2" s="9">
        <v>21</v>
      </c>
      <c r="Z2" s="9">
        <v>22</v>
      </c>
    </row>
    <row r="3" spans="1:26" ht="14.4">
      <c r="A3" s="52"/>
      <c r="B3" s="63" t="str">
        <f>LOOKUP(CNC!L$27,E$2:Z$2,E3:Z3)</f>
        <v>Figyelem!</v>
      </c>
      <c r="C3" s="52"/>
      <c r="E3" s="135" t="s">
        <v>1914</v>
      </c>
      <c r="F3" s="68" t="s">
        <v>1019</v>
      </c>
      <c r="G3" s="56" t="s">
        <v>647</v>
      </c>
      <c r="H3" s="70" t="s">
        <v>1142</v>
      </c>
      <c r="I3" s="56" t="s">
        <v>658</v>
      </c>
      <c r="J3" s="56" t="s">
        <v>776</v>
      </c>
      <c r="K3" s="56" t="s">
        <v>1782</v>
      </c>
      <c r="L3" s="1" t="s">
        <v>437</v>
      </c>
      <c r="M3" s="1" t="s">
        <v>1148</v>
      </c>
      <c r="N3" s="56" t="s">
        <v>1797</v>
      </c>
      <c r="O3" s="70" t="s">
        <v>1453</v>
      </c>
      <c r="P3" s="70" t="s">
        <v>1019</v>
      </c>
      <c r="Q3" s="1" t="s">
        <v>363</v>
      </c>
      <c r="R3" s="1" t="s">
        <v>1288</v>
      </c>
      <c r="S3" s="1" t="s">
        <v>531</v>
      </c>
      <c r="T3" s="56" t="s">
        <v>565</v>
      </c>
      <c r="U3" s="56" t="s">
        <v>832</v>
      </c>
      <c r="V3" s="77" t="s">
        <v>494</v>
      </c>
      <c r="W3" s="92" t="s">
        <v>209</v>
      </c>
      <c r="X3" s="82" t="s">
        <v>444</v>
      </c>
      <c r="Y3" s="97" t="s">
        <v>156</v>
      </c>
      <c r="Z3" s="88" t="s">
        <v>205</v>
      </c>
    </row>
    <row r="4" spans="1:26" s="72" customFormat="1" ht="68.400000000000006">
      <c r="A4" s="106"/>
      <c r="B4" s="54" t="str">
        <f>LOOKUP(CNC!L$27,E$2:Z$2,E4:Z4)</f>
        <v>Az itt szereplő forgácsolási adatok csak ajánlott kezdőértékek. Sok mindennek lehet olyan hatása, ami szükségessé teszi az adatok módosítását, például a gép stabilitása, a szerszámtartó, stb. A SmiCut cég nem vállal felelősséget a CNC program, vagy a szoftver által ajánlott forgácsolási adatok használata során keletkező esetleges károkért.</v>
      </c>
      <c r="C4" s="106"/>
      <c r="E4" s="138" t="s">
        <v>1915</v>
      </c>
      <c r="F4" s="69" t="s">
        <v>1814</v>
      </c>
      <c r="G4" s="57" t="s">
        <v>1029</v>
      </c>
      <c r="H4" s="57" t="s">
        <v>1047</v>
      </c>
      <c r="I4" s="57" t="s">
        <v>984</v>
      </c>
      <c r="J4" s="57" t="s">
        <v>834</v>
      </c>
      <c r="K4" s="71" t="s">
        <v>1783</v>
      </c>
      <c r="L4" s="71" t="s">
        <v>295</v>
      </c>
      <c r="M4" s="57" t="s">
        <v>1151</v>
      </c>
      <c r="N4" s="57" t="s">
        <v>1798</v>
      </c>
      <c r="O4" s="71" t="s">
        <v>1232</v>
      </c>
      <c r="P4" s="71" t="s">
        <v>1587</v>
      </c>
      <c r="Q4" s="57" t="s">
        <v>306</v>
      </c>
      <c r="R4" s="57" t="s">
        <v>1514</v>
      </c>
      <c r="S4" s="71" t="s">
        <v>145</v>
      </c>
      <c r="T4" s="57" t="s">
        <v>217</v>
      </c>
      <c r="U4" s="57" t="s">
        <v>779</v>
      </c>
      <c r="V4" s="104" t="s">
        <v>20</v>
      </c>
      <c r="W4" s="107" t="s">
        <v>133</v>
      </c>
      <c r="X4" s="108" t="s">
        <v>55</v>
      </c>
      <c r="Y4" s="98" t="s">
        <v>62</v>
      </c>
      <c r="Z4" s="105" t="s">
        <v>63</v>
      </c>
    </row>
    <row r="5" spans="1:26" ht="7.05" customHeight="1">
      <c r="A5" s="52"/>
      <c r="B5" s="52"/>
      <c r="C5" s="52"/>
      <c r="E5" s="136"/>
      <c r="F5" s="64"/>
      <c r="G5" s="9"/>
      <c r="I5" s="9"/>
      <c r="J5" s="9"/>
      <c r="O5" s="72"/>
      <c r="P5" s="72"/>
      <c r="R5" s="9"/>
      <c r="T5" s="9"/>
      <c r="U5" s="9"/>
      <c r="V5" s="78"/>
      <c r="X5" s="83"/>
      <c r="Y5" s="99"/>
      <c r="Z5" s="89"/>
    </row>
    <row r="6" spans="1:26" ht="14.4">
      <c r="A6" s="52"/>
      <c r="B6" s="53" t="str">
        <f>LOOKUP(CNC!L$27,E$2:Z$2,E6:Z6)</f>
        <v>Hogyan használjuk a programot</v>
      </c>
      <c r="C6" s="52"/>
      <c r="E6" s="135" t="s">
        <v>1916</v>
      </c>
      <c r="F6" s="68" t="s">
        <v>1023</v>
      </c>
      <c r="G6" s="56" t="s">
        <v>987</v>
      </c>
      <c r="H6" s="56" t="s">
        <v>1048</v>
      </c>
      <c r="I6" s="56" t="s">
        <v>828</v>
      </c>
      <c r="J6" s="56" t="s">
        <v>969</v>
      </c>
      <c r="K6" s="56" t="s">
        <v>1784</v>
      </c>
      <c r="L6" s="70" t="s">
        <v>296</v>
      </c>
      <c r="M6" s="56" t="s">
        <v>1152</v>
      </c>
      <c r="N6" s="56" t="s">
        <v>1799</v>
      </c>
      <c r="O6" s="73" t="s">
        <v>1230</v>
      </c>
      <c r="P6" s="73" t="s">
        <v>1492</v>
      </c>
      <c r="Q6" s="1" t="s">
        <v>307</v>
      </c>
      <c r="R6" s="56" t="s">
        <v>1413</v>
      </c>
      <c r="S6" s="1" t="s">
        <v>532</v>
      </c>
      <c r="T6" s="56" t="s">
        <v>564</v>
      </c>
      <c r="U6" s="56" t="s">
        <v>948</v>
      </c>
      <c r="V6" s="77" t="s">
        <v>451</v>
      </c>
      <c r="W6" s="92" t="s">
        <v>210</v>
      </c>
      <c r="X6" s="82" t="s">
        <v>445</v>
      </c>
      <c r="Y6" s="97" t="s">
        <v>157</v>
      </c>
      <c r="Z6" s="88" t="s">
        <v>258</v>
      </c>
    </row>
    <row r="7" spans="1:26" s="72" customFormat="1" ht="102.6">
      <c r="A7" s="106"/>
      <c r="B7" s="54" t="str">
        <f>LOOKUP(CNC!L$27,E$2:Z$2,E7:Z7)</f>
        <v>Válassza ki a nyelvet a jobb alsó sarokban, állítsa be a legördülő menüket, majd töltse ki a következő négy mezőt. A szükséges információ kitöltésekor a program megajánlja az alkalmas menetmarókat. A menetmarók egyikének kiválasztása után megjelennek az ajánlott forgácsolási adatok és a menetmarás művelet ideje. Ugyancsak megjelenik a menetmarás CNC programja. A CNC program másolható és beilleszthető az Ön CNC programjába.</v>
      </c>
      <c r="C7" s="106"/>
      <c r="E7" s="138" t="s">
        <v>1930</v>
      </c>
      <c r="F7" s="69" t="s">
        <v>1161</v>
      </c>
      <c r="G7" s="57" t="s">
        <v>973</v>
      </c>
      <c r="H7" s="57" t="s">
        <v>1096</v>
      </c>
      <c r="I7" s="57" t="s">
        <v>1027</v>
      </c>
      <c r="J7" s="57" t="s">
        <v>941</v>
      </c>
      <c r="K7" s="71" t="s">
        <v>1785</v>
      </c>
      <c r="L7" s="71" t="s">
        <v>356</v>
      </c>
      <c r="M7" s="57" t="s">
        <v>1242</v>
      </c>
      <c r="N7" s="57" t="s">
        <v>1800</v>
      </c>
      <c r="O7" s="71" t="s">
        <v>1310</v>
      </c>
      <c r="P7" s="71" t="s">
        <v>1507</v>
      </c>
      <c r="Q7" s="84" t="s">
        <v>218</v>
      </c>
      <c r="R7" s="57" t="s">
        <v>1282</v>
      </c>
      <c r="S7" s="71" t="s">
        <v>568</v>
      </c>
      <c r="T7" s="57" t="s">
        <v>123</v>
      </c>
      <c r="U7" s="57" t="s">
        <v>216</v>
      </c>
      <c r="V7" s="104" t="s">
        <v>508</v>
      </c>
      <c r="W7" s="109" t="s">
        <v>0</v>
      </c>
      <c r="X7" s="110" t="s">
        <v>1</v>
      </c>
      <c r="Y7" s="98" t="s">
        <v>37</v>
      </c>
      <c r="Z7" s="105" t="s">
        <v>103</v>
      </c>
    </row>
    <row r="8" spans="1:26" ht="13.8" hidden="1">
      <c r="A8" s="52"/>
      <c r="B8" s="55"/>
      <c r="C8" s="52"/>
      <c r="E8" s="136"/>
      <c r="F8" s="64"/>
      <c r="G8" s="58"/>
      <c r="I8" s="58"/>
      <c r="J8" s="58"/>
      <c r="O8" s="72"/>
      <c r="P8" s="72"/>
      <c r="R8" s="58"/>
      <c r="T8" s="58"/>
      <c r="U8" s="58"/>
      <c r="V8" s="78"/>
      <c r="X8" s="83"/>
      <c r="Y8" s="99"/>
      <c r="Z8" s="89"/>
    </row>
    <row r="9" spans="1:26" ht="14.4">
      <c r="A9" s="52"/>
      <c r="B9" s="53" t="str">
        <f>LOOKUP(CNC!L$27,E$2:Z$2,E9:Z9)</f>
        <v>Szerszám kompenzáció</v>
      </c>
      <c r="C9" s="52"/>
      <c r="E9" s="135" t="s">
        <v>1917</v>
      </c>
      <c r="F9" s="68" t="s">
        <v>1156</v>
      </c>
      <c r="G9" s="56" t="s">
        <v>967</v>
      </c>
      <c r="H9" s="56" t="s">
        <v>1097</v>
      </c>
      <c r="I9" s="56" t="s">
        <v>886</v>
      </c>
      <c r="J9" s="56" t="s">
        <v>710</v>
      </c>
      <c r="K9" s="56" t="s">
        <v>1786</v>
      </c>
      <c r="L9" s="70" t="s">
        <v>357</v>
      </c>
      <c r="M9" s="56" t="s">
        <v>1243</v>
      </c>
      <c r="N9" s="56" t="s">
        <v>1801</v>
      </c>
      <c r="O9" s="73" t="s">
        <v>1311</v>
      </c>
      <c r="P9" s="73" t="s">
        <v>1508</v>
      </c>
      <c r="Q9" s="1" t="s">
        <v>219</v>
      </c>
      <c r="R9" s="56" t="s">
        <v>1343</v>
      </c>
      <c r="S9" s="1" t="s">
        <v>569</v>
      </c>
      <c r="T9" s="56" t="s">
        <v>493</v>
      </c>
      <c r="U9" s="56" t="s">
        <v>712</v>
      </c>
      <c r="V9" s="77" t="s">
        <v>440</v>
      </c>
      <c r="W9" s="92" t="s">
        <v>211</v>
      </c>
      <c r="X9" s="82" t="s">
        <v>446</v>
      </c>
      <c r="Y9" s="97" t="s">
        <v>158</v>
      </c>
      <c r="Z9" s="88" t="s">
        <v>127</v>
      </c>
    </row>
    <row r="10" spans="1:26" s="72" customFormat="1" ht="57">
      <c r="A10" s="106"/>
      <c r="B10" s="54" t="str">
        <f>LOOKUP(CNC!L$27,E$2:Z$2,E10:Z10)</f>
        <v>Ennél a programnál a szerszám kompenzáció csak kisebb állításokhoz használható. Ez kiküszöböli az olyan problémákat, amelyek akkor keletkeznek, ha rádiusz kompenzációt használunk kis elmozdulásoknál. Ezért egy nullához közeli értéket adjon meg maró átmérőként a vezérlés szerszám könyvtárában.</v>
      </c>
      <c r="C10" s="106"/>
      <c r="E10" s="138" t="s">
        <v>1918</v>
      </c>
      <c r="F10" s="69" t="s">
        <v>1106</v>
      </c>
      <c r="G10" s="57" t="s">
        <v>975</v>
      </c>
      <c r="H10" s="57" t="s">
        <v>1279</v>
      </c>
      <c r="I10" s="57" t="s">
        <v>869</v>
      </c>
      <c r="J10" s="57" t="s">
        <v>765</v>
      </c>
      <c r="K10" s="71" t="s">
        <v>1787</v>
      </c>
      <c r="L10" s="71" t="s">
        <v>364</v>
      </c>
      <c r="M10" s="57" t="s">
        <v>1110</v>
      </c>
      <c r="N10" s="57" t="s">
        <v>1802</v>
      </c>
      <c r="O10" s="71" t="s">
        <v>1275</v>
      </c>
      <c r="P10" s="71" t="s">
        <v>1531</v>
      </c>
      <c r="Q10" s="57" t="s">
        <v>294</v>
      </c>
      <c r="R10" s="57" t="s">
        <v>1362</v>
      </c>
      <c r="S10" s="71" t="s">
        <v>661</v>
      </c>
      <c r="T10" s="57" t="s">
        <v>509</v>
      </c>
      <c r="U10" s="57" t="s">
        <v>843</v>
      </c>
      <c r="V10" s="104" t="s">
        <v>507</v>
      </c>
      <c r="W10" s="111" t="s">
        <v>49</v>
      </c>
      <c r="X10" s="110" t="s">
        <v>50</v>
      </c>
      <c r="Y10" s="98" t="s">
        <v>101</v>
      </c>
      <c r="Z10" s="105" t="s">
        <v>102</v>
      </c>
    </row>
    <row r="11" spans="1:26" ht="7.05" customHeight="1">
      <c r="A11" s="52"/>
      <c r="B11" s="55"/>
      <c r="C11" s="52"/>
      <c r="E11" s="136"/>
      <c r="F11" s="64"/>
      <c r="G11" s="58"/>
      <c r="I11" s="58"/>
      <c r="J11" s="58"/>
      <c r="K11" s="74"/>
      <c r="O11" s="72"/>
      <c r="P11" s="72"/>
      <c r="R11" s="58"/>
      <c r="S11" s="74"/>
      <c r="T11" s="58"/>
      <c r="U11" s="58"/>
      <c r="V11" s="78"/>
      <c r="X11" s="83"/>
      <c r="Y11" s="99"/>
      <c r="Z11" s="89"/>
    </row>
    <row r="12" spans="1:26" ht="14.4">
      <c r="A12" s="52"/>
      <c r="B12" s="53" t="str">
        <f>LOOKUP(CNC!L$27,E$2:Z$2,E12:Z12)</f>
        <v>Korrekt menet átmérő azonnal</v>
      </c>
      <c r="C12" s="52"/>
      <c r="E12" s="135" t="s">
        <v>1919</v>
      </c>
      <c r="F12" s="68" t="s">
        <v>1103</v>
      </c>
      <c r="G12" s="56" t="s">
        <v>976</v>
      </c>
      <c r="H12" s="56" t="s">
        <v>1280</v>
      </c>
      <c r="I12" s="56" t="s">
        <v>894</v>
      </c>
      <c r="J12" s="56" t="s">
        <v>766</v>
      </c>
      <c r="K12" s="56" t="s">
        <v>1788</v>
      </c>
      <c r="L12" s="70" t="s">
        <v>365</v>
      </c>
      <c r="M12" s="56" t="s">
        <v>1111</v>
      </c>
      <c r="N12" s="56" t="s">
        <v>1803</v>
      </c>
      <c r="O12" s="73" t="s">
        <v>1276</v>
      </c>
      <c r="P12" s="73" t="s">
        <v>1532</v>
      </c>
      <c r="Q12" s="1" t="s">
        <v>334</v>
      </c>
      <c r="R12" s="56" t="s">
        <v>1338</v>
      </c>
      <c r="S12" s="75" t="s">
        <v>662</v>
      </c>
      <c r="T12" s="56" t="s">
        <v>492</v>
      </c>
      <c r="U12" s="56" t="s">
        <v>728</v>
      </c>
      <c r="V12" s="77" t="s">
        <v>428</v>
      </c>
      <c r="W12" s="92" t="s">
        <v>121</v>
      </c>
      <c r="X12" s="82" t="s">
        <v>447</v>
      </c>
      <c r="Y12" s="97" t="s">
        <v>159</v>
      </c>
      <c r="Z12" s="88" t="s">
        <v>128</v>
      </c>
    </row>
    <row r="13" spans="1:26" s="72" customFormat="1" ht="79.8">
      <c r="A13" s="106"/>
      <c r="B13" s="54" t="str">
        <f>LOOKUP(CNC!L$27,E$2:Z$2,E13:Z13)</f>
        <v>A SmiCut menetmarókon a középátmérőt optikailag megmérik és elméleti külső átmérőt lézerjelöléssel feltüntetik minden egyes marón. Ezt az értéket be kell írni a maró átmérő melletti mezőbe (7 jelű). Nagy valószínűséggel így azonnal korrekt menetméretet fog kapni. Ha mégis korrigálni kell, ezt megteheti ugyanebben a mezőben, vagy a vezérlés szerszám könyvtárában.</v>
      </c>
      <c r="C13" s="106"/>
      <c r="E13" s="138" t="s">
        <v>1920</v>
      </c>
      <c r="F13" s="69" t="s">
        <v>2024</v>
      </c>
      <c r="G13" s="57" t="s">
        <v>2028</v>
      </c>
      <c r="H13" s="57" t="s">
        <v>2032</v>
      </c>
      <c r="I13" s="57" t="s">
        <v>2036</v>
      </c>
      <c r="J13" s="57" t="s">
        <v>2040</v>
      </c>
      <c r="K13" s="130" t="s">
        <v>2044</v>
      </c>
      <c r="L13" s="71" t="s">
        <v>2048</v>
      </c>
      <c r="M13" s="57" t="s">
        <v>2052</v>
      </c>
      <c r="N13" s="57" t="s">
        <v>2056</v>
      </c>
      <c r="O13" s="71" t="s">
        <v>2060</v>
      </c>
      <c r="P13" s="71" t="s">
        <v>2064</v>
      </c>
      <c r="Q13" s="57" t="s">
        <v>2068</v>
      </c>
      <c r="R13" s="57" t="s">
        <v>2072</v>
      </c>
      <c r="S13" s="71" t="s">
        <v>2076</v>
      </c>
      <c r="T13" s="57" t="s">
        <v>2080</v>
      </c>
      <c r="U13" s="57" t="s">
        <v>2020</v>
      </c>
      <c r="V13" s="104" t="s">
        <v>2083</v>
      </c>
      <c r="W13" s="109" t="s">
        <v>2087</v>
      </c>
      <c r="X13" s="110" t="s">
        <v>2091</v>
      </c>
      <c r="Y13" s="100" t="s">
        <v>2095</v>
      </c>
      <c r="Z13" s="105" t="s">
        <v>2099</v>
      </c>
    </row>
    <row r="14" spans="1:26" ht="7.05" customHeight="1">
      <c r="A14" s="52"/>
      <c r="B14" s="55"/>
      <c r="C14" s="52"/>
      <c r="E14" s="136"/>
      <c r="F14" s="64"/>
      <c r="G14" s="58"/>
      <c r="I14" s="58"/>
      <c r="J14" s="58"/>
      <c r="K14" s="74"/>
      <c r="O14" s="72"/>
      <c r="P14" s="72"/>
      <c r="R14" s="58"/>
      <c r="S14" s="74"/>
      <c r="T14" s="58"/>
      <c r="U14" s="58"/>
      <c r="V14" s="78"/>
      <c r="X14" s="83"/>
      <c r="Y14" s="99"/>
      <c r="Z14" s="89"/>
    </row>
    <row r="15" spans="1:26" ht="14.4">
      <c r="A15" s="52"/>
      <c r="B15" s="53" t="str">
        <f>LOOKUP(CNC!L$27,E$2:Z$2,E15:Z15)</f>
        <v>Különleges szerszámok</v>
      </c>
      <c r="C15" s="52"/>
      <c r="E15" s="135" t="s">
        <v>1921</v>
      </c>
      <c r="F15" s="68" t="s">
        <v>1026</v>
      </c>
      <c r="G15" s="56" t="s">
        <v>977</v>
      </c>
      <c r="H15" s="56" t="s">
        <v>1229</v>
      </c>
      <c r="I15" s="56" t="s">
        <v>1155</v>
      </c>
      <c r="J15" s="56" t="s">
        <v>522</v>
      </c>
      <c r="K15" s="56" t="s">
        <v>1789</v>
      </c>
      <c r="L15" s="70" t="s">
        <v>324</v>
      </c>
      <c r="M15" s="56" t="s">
        <v>1120</v>
      </c>
      <c r="N15" s="56" t="s">
        <v>1804</v>
      </c>
      <c r="O15" s="73" t="s">
        <v>1330</v>
      </c>
      <c r="P15" s="73" t="s">
        <v>1533</v>
      </c>
      <c r="Q15" s="1" t="s">
        <v>323</v>
      </c>
      <c r="R15" s="56" t="s">
        <v>1544</v>
      </c>
      <c r="S15" s="75" t="s">
        <v>510</v>
      </c>
      <c r="T15" s="56" t="s">
        <v>491</v>
      </c>
      <c r="U15" s="56" t="s">
        <v>698</v>
      </c>
      <c r="V15" s="77" t="s">
        <v>466</v>
      </c>
      <c r="W15" s="92" t="s">
        <v>122</v>
      </c>
      <c r="X15" s="82" t="s">
        <v>448</v>
      </c>
      <c r="Y15" s="97" t="s">
        <v>160</v>
      </c>
      <c r="Z15" s="88" t="s">
        <v>129</v>
      </c>
    </row>
    <row r="16" spans="1:26" s="72" customFormat="1" ht="57">
      <c r="A16" s="106"/>
      <c r="B16" s="54" t="str">
        <f>LOOKUP(CNC!L$27,E$2:Z$2,E16:Z16)</f>
        <v>Ha olyan szerszámot használ, amely nincs a listában, beírhatja a maró átmérőjét, hosszát és él számát az 7-9 mezőkbe.</v>
      </c>
      <c r="C16" s="106"/>
      <c r="E16" s="138" t="s">
        <v>1931</v>
      </c>
      <c r="F16" s="69" t="s">
        <v>2025</v>
      </c>
      <c r="G16" s="57" t="s">
        <v>2029</v>
      </c>
      <c r="H16" s="57" t="s">
        <v>2033</v>
      </c>
      <c r="I16" s="57" t="s">
        <v>2037</v>
      </c>
      <c r="J16" s="57" t="s">
        <v>2041</v>
      </c>
      <c r="K16" s="71" t="s">
        <v>2045</v>
      </c>
      <c r="L16" s="71" t="s">
        <v>2049</v>
      </c>
      <c r="M16" s="57" t="s">
        <v>2053</v>
      </c>
      <c r="N16" s="57" t="s">
        <v>2057</v>
      </c>
      <c r="O16" s="71" t="s">
        <v>2061</v>
      </c>
      <c r="P16" s="71" t="s">
        <v>2065</v>
      </c>
      <c r="Q16" s="57" t="s">
        <v>2070</v>
      </c>
      <c r="R16" s="57" t="s">
        <v>2073</v>
      </c>
      <c r="S16" s="71" t="s">
        <v>2077</v>
      </c>
      <c r="T16" s="57" t="s">
        <v>2081</v>
      </c>
      <c r="U16" s="57" t="s">
        <v>2021</v>
      </c>
      <c r="V16" s="104" t="s">
        <v>2084</v>
      </c>
      <c r="W16" s="109" t="s">
        <v>2088</v>
      </c>
      <c r="X16" s="110" t="s">
        <v>2092</v>
      </c>
      <c r="Y16" s="98" t="s">
        <v>2096</v>
      </c>
      <c r="Z16" s="105" t="s">
        <v>2100</v>
      </c>
    </row>
    <row r="17" spans="1:26" ht="13.8" hidden="1">
      <c r="A17" s="52"/>
      <c r="B17" s="55"/>
      <c r="C17" s="52"/>
      <c r="E17" s="136"/>
      <c r="F17" s="64"/>
      <c r="G17" s="58"/>
      <c r="I17" s="58"/>
      <c r="J17" s="58"/>
      <c r="K17" s="74"/>
      <c r="O17" s="72"/>
      <c r="P17" s="72"/>
      <c r="R17" s="58"/>
      <c r="S17" s="74"/>
      <c r="T17" s="58"/>
      <c r="U17" s="58"/>
      <c r="V17" s="78"/>
      <c r="X17" s="83"/>
      <c r="Y17" s="99"/>
      <c r="Z17" s="89"/>
    </row>
    <row r="18" spans="1:26" ht="14.4">
      <c r="A18" s="52"/>
      <c r="B18" s="53" t="str">
        <f>LOOKUP(CNC!L$27,E$2:Z$2,E18:Z18)</f>
        <v>Egy és két profilú menetmarók</v>
      </c>
      <c r="C18" s="52"/>
      <c r="E18" s="135" t="s">
        <v>1922</v>
      </c>
      <c r="F18" s="68" t="s">
        <v>929</v>
      </c>
      <c r="G18" s="56" t="s">
        <v>890</v>
      </c>
      <c r="H18" s="56" t="s">
        <v>1281</v>
      </c>
      <c r="I18" s="56" t="s">
        <v>1153</v>
      </c>
      <c r="J18" s="56" t="s">
        <v>928</v>
      </c>
      <c r="K18" s="56" t="s">
        <v>1790</v>
      </c>
      <c r="L18" s="70" t="s">
        <v>308</v>
      </c>
      <c r="M18" s="56" t="s">
        <v>1112</v>
      </c>
      <c r="N18" s="56" t="s">
        <v>1805</v>
      </c>
      <c r="O18" s="73" t="s">
        <v>1274</v>
      </c>
      <c r="P18" s="73" t="s">
        <v>1449</v>
      </c>
      <c r="Q18" s="1" t="s">
        <v>239</v>
      </c>
      <c r="R18" s="56" t="s">
        <v>1334</v>
      </c>
      <c r="S18" s="75" t="s">
        <v>513</v>
      </c>
      <c r="T18" s="56" t="s">
        <v>490</v>
      </c>
      <c r="U18" s="56" t="s">
        <v>524</v>
      </c>
      <c r="V18" s="77" t="s">
        <v>481</v>
      </c>
      <c r="W18" s="92" t="s">
        <v>206</v>
      </c>
      <c r="X18" s="82" t="s">
        <v>501</v>
      </c>
      <c r="Y18" s="97" t="s">
        <v>124</v>
      </c>
      <c r="Z18" s="88" t="s">
        <v>130</v>
      </c>
    </row>
    <row r="19" spans="1:26" s="72" customFormat="1" ht="57">
      <c r="A19" s="106"/>
      <c r="B19" s="54" t="str">
        <f>LOOKUP(CNC!L$27,E$2:Z$2,E19:Z19)</f>
        <v>Ha az egy vagy kétprofilú NM típusú menetmarót választja, akkor a  program automatikusan előállít egy ciklust, amely egy spirált ír le, amíg el nem készül a menet. Ha ugyanezt akarja tenni egy másik szerszámmal, akkor a menetemelkedést kell beírni a maró él hosszának helyére a 8-os mezőbe.</v>
      </c>
      <c r="C19" s="106"/>
      <c r="E19" s="138" t="s">
        <v>1923</v>
      </c>
      <c r="F19" s="69" t="s">
        <v>2026</v>
      </c>
      <c r="G19" s="57" t="s">
        <v>2030</v>
      </c>
      <c r="H19" s="57" t="s">
        <v>2034</v>
      </c>
      <c r="I19" s="57" t="s">
        <v>2038</v>
      </c>
      <c r="J19" s="57" t="s">
        <v>2042</v>
      </c>
      <c r="K19" s="130" t="s">
        <v>2046</v>
      </c>
      <c r="L19" s="71" t="s">
        <v>2050</v>
      </c>
      <c r="M19" s="57" t="s">
        <v>2054</v>
      </c>
      <c r="N19" s="57" t="s">
        <v>2058</v>
      </c>
      <c r="O19" s="71" t="s">
        <v>2062</v>
      </c>
      <c r="P19" s="71" t="s">
        <v>2066</v>
      </c>
      <c r="Q19" s="57" t="s">
        <v>2069</v>
      </c>
      <c r="R19" s="57" t="s">
        <v>2074</v>
      </c>
      <c r="S19" s="71" t="s">
        <v>2078</v>
      </c>
      <c r="T19" s="57" t="s">
        <v>398</v>
      </c>
      <c r="U19" s="57" t="s">
        <v>2022</v>
      </c>
      <c r="V19" s="104" t="s">
        <v>2085</v>
      </c>
      <c r="W19" s="109" t="s">
        <v>2089</v>
      </c>
      <c r="X19" s="110" t="s">
        <v>2093</v>
      </c>
      <c r="Y19" s="98" t="s">
        <v>2097</v>
      </c>
      <c r="Z19" s="105" t="s">
        <v>2101</v>
      </c>
    </row>
    <row r="20" spans="1:26" ht="7.05" customHeight="1">
      <c r="A20" s="52"/>
      <c r="B20" s="55"/>
      <c r="C20" s="52"/>
      <c r="E20" s="136"/>
      <c r="F20" s="64"/>
      <c r="G20" s="58"/>
      <c r="I20" s="58"/>
      <c r="J20" s="58"/>
      <c r="K20" s="74"/>
      <c r="O20" s="72"/>
      <c r="P20" s="72"/>
      <c r="R20" s="58"/>
      <c r="S20" s="74"/>
      <c r="T20" s="58"/>
      <c r="U20" s="58"/>
      <c r="V20" s="78"/>
      <c r="X20" s="83"/>
      <c r="Y20" s="99"/>
      <c r="Z20" s="89"/>
    </row>
    <row r="21" spans="1:26" ht="14.4">
      <c r="A21" s="52"/>
      <c r="B21" s="53" t="str">
        <f>LOOKUP(CNC!L$27,E$2:Z$2,E21:Z21)</f>
        <v>Menetmarók vékony nyakkal</v>
      </c>
      <c r="C21" s="52"/>
      <c r="E21" s="135" t="s">
        <v>1924</v>
      </c>
      <c r="F21" s="68" t="s">
        <v>1054</v>
      </c>
      <c r="G21" s="56" t="s">
        <v>891</v>
      </c>
      <c r="H21" s="56" t="s">
        <v>1157</v>
      </c>
      <c r="I21" s="56" t="s">
        <v>1154</v>
      </c>
      <c r="J21" s="56" t="s">
        <v>1021</v>
      </c>
      <c r="K21" s="56" t="s">
        <v>1791</v>
      </c>
      <c r="L21" s="1" t="s">
        <v>292</v>
      </c>
      <c r="M21" s="56" t="s">
        <v>1235</v>
      </c>
      <c r="N21" s="56" t="s">
        <v>1806</v>
      </c>
      <c r="O21" s="73" t="s">
        <v>1223</v>
      </c>
      <c r="P21" s="73" t="s">
        <v>1534</v>
      </c>
      <c r="Q21" s="1" t="s">
        <v>240</v>
      </c>
      <c r="R21" s="56" t="s">
        <v>1331</v>
      </c>
      <c r="S21" s="75" t="s">
        <v>600</v>
      </c>
      <c r="T21" s="56" t="s">
        <v>489</v>
      </c>
      <c r="U21" s="56" t="s">
        <v>748</v>
      </c>
      <c r="V21" s="77" t="s">
        <v>403</v>
      </c>
      <c r="W21" s="93" t="s">
        <v>207</v>
      </c>
      <c r="X21" s="82" t="s">
        <v>438</v>
      </c>
      <c r="Y21" s="97" t="s">
        <v>125</v>
      </c>
      <c r="Z21" s="88" t="s">
        <v>88</v>
      </c>
    </row>
    <row r="22" spans="1:26" s="72" customFormat="1" ht="34.200000000000003">
      <c r="A22" s="106"/>
      <c r="B22" s="54" t="str">
        <f>LOOKUP(CNC!L$27,E$2:Z$2,E22:Z22)</f>
        <v>A program automatikusan több axiális fogásban készíti el a menetet, ha a menetmaró éle rövidebb, mint az előírt menethossz.</v>
      </c>
      <c r="C22" s="106"/>
      <c r="E22" s="138" t="s">
        <v>1925</v>
      </c>
      <c r="F22" s="69" t="s">
        <v>1094</v>
      </c>
      <c r="G22" s="57" t="s">
        <v>649</v>
      </c>
      <c r="H22" s="57" t="s">
        <v>1104</v>
      </c>
      <c r="I22" s="57" t="s">
        <v>968</v>
      </c>
      <c r="J22" s="57" t="s">
        <v>1001</v>
      </c>
      <c r="K22" s="71" t="s">
        <v>1792</v>
      </c>
      <c r="L22" s="112" t="s">
        <v>320</v>
      </c>
      <c r="M22" s="57" t="s">
        <v>1255</v>
      </c>
      <c r="N22" s="57" t="s">
        <v>1807</v>
      </c>
      <c r="O22" s="71" t="s">
        <v>1224</v>
      </c>
      <c r="P22" s="71" t="s">
        <v>1543</v>
      </c>
      <c r="Q22" s="57" t="s">
        <v>241</v>
      </c>
      <c r="R22" s="57" t="s">
        <v>1400</v>
      </c>
      <c r="S22" s="71" t="s">
        <v>601</v>
      </c>
      <c r="T22" s="57" t="s">
        <v>521</v>
      </c>
      <c r="U22" s="57" t="s">
        <v>930</v>
      </c>
      <c r="V22" s="104" t="s">
        <v>518</v>
      </c>
      <c r="W22" s="113" t="s">
        <v>52</v>
      </c>
      <c r="X22" s="110" t="s">
        <v>54</v>
      </c>
      <c r="Y22" s="98" t="s">
        <v>131</v>
      </c>
      <c r="Z22" s="105" t="s">
        <v>132</v>
      </c>
    </row>
    <row r="23" spans="1:26" ht="13.8" hidden="1">
      <c r="A23" s="52"/>
      <c r="B23" s="55"/>
      <c r="C23" s="52"/>
      <c r="E23" s="136"/>
      <c r="F23" s="64"/>
      <c r="G23" s="58"/>
      <c r="I23" s="58"/>
      <c r="J23" s="58"/>
      <c r="K23" s="74"/>
      <c r="O23" s="72"/>
      <c r="P23" s="72"/>
      <c r="R23" s="58"/>
      <c r="S23" s="74"/>
      <c r="T23" s="58"/>
      <c r="U23" s="58"/>
      <c r="V23" s="78"/>
      <c r="X23" s="83"/>
      <c r="Y23" s="99"/>
      <c r="Z23" s="89"/>
    </row>
    <row r="24" spans="1:26" ht="14.4">
      <c r="A24" s="52"/>
      <c r="B24" s="53" t="str">
        <f>LOOKUP(CNC!L$27,E$2:Z$2,E24:Z24)</f>
        <v>Váltólapkás menetmarók</v>
      </c>
      <c r="C24" s="52"/>
      <c r="E24" s="135" t="s">
        <v>1926</v>
      </c>
      <c r="F24" s="68" t="s">
        <v>1095</v>
      </c>
      <c r="G24" s="56" t="s">
        <v>913</v>
      </c>
      <c r="H24" s="56" t="s">
        <v>1204</v>
      </c>
      <c r="I24" s="56" t="s">
        <v>788</v>
      </c>
      <c r="J24" s="56" t="s">
        <v>740</v>
      </c>
      <c r="K24" s="56" t="s">
        <v>1793</v>
      </c>
      <c r="L24" s="1" t="s">
        <v>321</v>
      </c>
      <c r="M24" s="56" t="s">
        <v>1277</v>
      </c>
      <c r="N24" s="56" t="s">
        <v>1808</v>
      </c>
      <c r="O24" s="73" t="s">
        <v>1225</v>
      </c>
      <c r="P24" s="73" t="s">
        <v>1581</v>
      </c>
      <c r="Q24" s="1" t="s">
        <v>242</v>
      </c>
      <c r="R24" s="56" t="s">
        <v>1401</v>
      </c>
      <c r="S24" s="75" t="s">
        <v>515</v>
      </c>
      <c r="T24" s="56" t="s">
        <v>488</v>
      </c>
      <c r="U24" s="56" t="s">
        <v>825</v>
      </c>
      <c r="V24" s="77" t="s">
        <v>519</v>
      </c>
      <c r="W24" s="92" t="s">
        <v>208</v>
      </c>
      <c r="X24" s="82" t="s">
        <v>374</v>
      </c>
      <c r="Y24" s="97" t="s">
        <v>126</v>
      </c>
      <c r="Z24" s="88" t="s">
        <v>89</v>
      </c>
    </row>
    <row r="25" spans="1:26" s="72" customFormat="1" ht="68.400000000000006">
      <c r="A25" s="106"/>
      <c r="B25" s="54" t="str">
        <f>LOOKUP(CNC!L$27,E$2:Z$2,E25:Z25)</f>
        <v>Adja meg a maróátmérőt az 7 jelű mezőben, a 8 jelű mezőben a lapka hosszát és a 9 jelű mezőben a lapkák számát. Szükség esetén a program automatikusan több axiális fogásban állítja elő a teljes menethosszt.</v>
      </c>
      <c r="C25" s="106"/>
      <c r="E25" s="138" t="s">
        <v>1932</v>
      </c>
      <c r="F25" s="69" t="s">
        <v>2027</v>
      </c>
      <c r="G25" s="57" t="s">
        <v>2031</v>
      </c>
      <c r="H25" s="57" t="s">
        <v>2035</v>
      </c>
      <c r="I25" s="57" t="s">
        <v>2039</v>
      </c>
      <c r="J25" s="57" t="s">
        <v>2043</v>
      </c>
      <c r="K25" s="71" t="s">
        <v>2047</v>
      </c>
      <c r="L25" s="71" t="s">
        <v>2051</v>
      </c>
      <c r="M25" s="57" t="s">
        <v>2055</v>
      </c>
      <c r="N25" s="57" t="s">
        <v>2059</v>
      </c>
      <c r="O25" s="71" t="s">
        <v>2063</v>
      </c>
      <c r="P25" s="71" t="s">
        <v>2067</v>
      </c>
      <c r="Q25" s="57" t="s">
        <v>2071</v>
      </c>
      <c r="R25" s="57" t="s">
        <v>2075</v>
      </c>
      <c r="S25" s="71" t="s">
        <v>2079</v>
      </c>
      <c r="T25" s="57" t="s">
        <v>2082</v>
      </c>
      <c r="U25" s="57" t="s">
        <v>2023</v>
      </c>
      <c r="V25" s="104" t="s">
        <v>2086</v>
      </c>
      <c r="W25" s="109" t="s">
        <v>2090</v>
      </c>
      <c r="X25" s="110" t="s">
        <v>2094</v>
      </c>
      <c r="Y25" s="98" t="s">
        <v>2098</v>
      </c>
      <c r="Z25" s="105" t="s">
        <v>2102</v>
      </c>
    </row>
    <row r="26" spans="1:26" ht="7.05" customHeight="1">
      <c r="A26" s="52"/>
      <c r="B26" s="55"/>
      <c r="C26" s="52"/>
      <c r="E26" s="136"/>
      <c r="F26" s="64"/>
      <c r="G26" s="58"/>
      <c r="I26" s="58"/>
      <c r="J26" s="58"/>
      <c r="K26" s="74"/>
      <c r="O26" s="72"/>
      <c r="P26" s="72"/>
      <c r="R26" s="58"/>
      <c r="S26" s="74"/>
      <c r="T26" s="58"/>
      <c r="U26" s="58"/>
      <c r="V26" s="78"/>
      <c r="X26" s="83"/>
      <c r="Y26" s="99"/>
      <c r="Z26" s="89"/>
    </row>
    <row r="27" spans="1:26" ht="14.4">
      <c r="A27" s="52"/>
      <c r="B27" s="53" t="str">
        <f>LOOKUP(CNC!L$27,E$2:Z$2,E27:Z27)</f>
        <v>Kúpos menetek</v>
      </c>
      <c r="C27" s="52"/>
      <c r="E27" s="135" t="s">
        <v>1927</v>
      </c>
      <c r="F27" s="68" t="s">
        <v>972</v>
      </c>
      <c r="G27" s="56" t="s">
        <v>970</v>
      </c>
      <c r="H27" s="56" t="s">
        <v>1207</v>
      </c>
      <c r="I27" s="56" t="s">
        <v>957</v>
      </c>
      <c r="J27" s="56" t="s">
        <v>771</v>
      </c>
      <c r="K27" s="56" t="s">
        <v>1794</v>
      </c>
      <c r="L27" s="70" t="s">
        <v>293</v>
      </c>
      <c r="M27" s="56" t="s">
        <v>1323</v>
      </c>
      <c r="N27" s="56" t="s">
        <v>1809</v>
      </c>
      <c r="O27" s="73" t="s">
        <v>1368</v>
      </c>
      <c r="P27" s="73" t="s">
        <v>1582</v>
      </c>
      <c r="Q27" s="1" t="s">
        <v>288</v>
      </c>
      <c r="R27" s="56" t="s">
        <v>1574</v>
      </c>
      <c r="S27" s="75" t="s">
        <v>516</v>
      </c>
      <c r="T27" s="56" t="s">
        <v>487</v>
      </c>
      <c r="U27" s="56" t="s">
        <v>624</v>
      </c>
      <c r="V27" s="77" t="s">
        <v>520</v>
      </c>
      <c r="W27" s="92" t="s">
        <v>195</v>
      </c>
      <c r="X27" s="82" t="s">
        <v>439</v>
      </c>
      <c r="Y27" s="97" t="s">
        <v>146</v>
      </c>
      <c r="Z27" s="88" t="s">
        <v>90</v>
      </c>
    </row>
    <row r="28" spans="1:26" s="72" customFormat="1" ht="34.200000000000003">
      <c r="A28" s="106"/>
      <c r="B28" s="54" t="str">
        <f>LOOKUP(CNC!L$27,E$2:Z$2,E28:Z28)</f>
        <v>A megadott maró átmérő a szárhoz közeli teljes meneten értendő. Ezért azt a menet átmérőt kell megadni, ahol a marónak ez a része dolgozik.</v>
      </c>
      <c r="C28" s="106"/>
      <c r="E28" s="138" t="s">
        <v>1928</v>
      </c>
      <c r="F28" s="69" t="s">
        <v>1167</v>
      </c>
      <c r="G28" s="57" t="s">
        <v>823</v>
      </c>
      <c r="H28" s="57" t="s">
        <v>1130</v>
      </c>
      <c r="I28" s="57" t="s">
        <v>648</v>
      </c>
      <c r="J28" s="57" t="s">
        <v>986</v>
      </c>
      <c r="K28" s="71" t="s">
        <v>1795</v>
      </c>
      <c r="L28" s="71" t="s">
        <v>335</v>
      </c>
      <c r="M28" s="57" t="s">
        <v>1208</v>
      </c>
      <c r="N28" s="57" t="s">
        <v>1810</v>
      </c>
      <c r="O28" s="71" t="s">
        <v>1451</v>
      </c>
      <c r="P28" s="71" t="s">
        <v>1530</v>
      </c>
      <c r="Q28" s="57" t="s">
        <v>289</v>
      </c>
      <c r="R28" s="57" t="s">
        <v>1474</v>
      </c>
      <c r="S28" s="71" t="s">
        <v>420</v>
      </c>
      <c r="T28" s="57" t="s">
        <v>53</v>
      </c>
      <c r="U28" s="57" t="s">
        <v>646</v>
      </c>
      <c r="V28" s="104" t="s">
        <v>417</v>
      </c>
      <c r="W28" s="111" t="s">
        <v>196</v>
      </c>
      <c r="X28" s="110" t="s">
        <v>57</v>
      </c>
      <c r="Y28" s="98" t="s">
        <v>56</v>
      </c>
      <c r="Z28" s="105" t="s">
        <v>29</v>
      </c>
    </row>
    <row r="29" spans="1:26" ht="13.8">
      <c r="A29" s="52"/>
      <c r="B29" s="52"/>
      <c r="C29" s="52"/>
      <c r="E29" s="136"/>
      <c r="F29" s="64"/>
      <c r="O29" s="34"/>
      <c r="P29" s="34"/>
      <c r="S29" s="74"/>
      <c r="T29" s="51"/>
      <c r="U29" s="51"/>
      <c r="V29" s="78"/>
      <c r="X29" s="83"/>
      <c r="Y29" s="99"/>
      <c r="Z29" s="89"/>
    </row>
    <row r="30" spans="1:26" s="72" customFormat="1">
      <c r="A30" s="106"/>
      <c r="B30" s="114" t="str">
        <f>LOOKUP(CNC!L$27,E$2:Z$2,E30:Z30)</f>
        <v>vissza</v>
      </c>
      <c r="C30" s="106"/>
      <c r="E30" s="139" t="s">
        <v>1929</v>
      </c>
      <c r="F30" s="115" t="s">
        <v>1168</v>
      </c>
      <c r="G30" s="116" t="s">
        <v>824</v>
      </c>
      <c r="H30" s="116" t="s">
        <v>1131</v>
      </c>
      <c r="I30" s="116" t="s">
        <v>830</v>
      </c>
      <c r="J30" s="116" t="s">
        <v>829</v>
      </c>
      <c r="K30" s="72" t="s">
        <v>1796</v>
      </c>
      <c r="L30" s="72" t="s">
        <v>336</v>
      </c>
      <c r="M30" s="116" t="s">
        <v>1209</v>
      </c>
      <c r="N30" t="s">
        <v>1811</v>
      </c>
      <c r="O30" s="72" t="s">
        <v>1452</v>
      </c>
      <c r="P30" s="72" t="s">
        <v>1168</v>
      </c>
      <c r="Q30" s="72" t="s">
        <v>290</v>
      </c>
      <c r="R30" s="72" t="s">
        <v>1475</v>
      </c>
      <c r="S30" s="71" t="s">
        <v>421</v>
      </c>
      <c r="T30" s="116" t="s">
        <v>486</v>
      </c>
      <c r="U30" s="116" t="s">
        <v>758</v>
      </c>
      <c r="V30" s="104" t="s">
        <v>418</v>
      </c>
      <c r="W30" s="113" t="s">
        <v>197</v>
      </c>
      <c r="X30" s="110" t="s">
        <v>30</v>
      </c>
      <c r="Y30" s="101" t="s">
        <v>58</v>
      </c>
      <c r="Z30" s="105" t="s">
        <v>59</v>
      </c>
    </row>
    <row r="31" spans="1:26">
      <c r="A31" s="52"/>
      <c r="B31" s="52"/>
      <c r="C31" s="52"/>
      <c r="S31" s="51"/>
      <c r="T31" s="51"/>
      <c r="U31" s="51"/>
      <c r="V31" s="51"/>
      <c r="W31" s="51"/>
      <c r="X31" s="51"/>
      <c r="Y31" s="51"/>
      <c r="Z31" s="51"/>
    </row>
    <row r="33" spans="25:25">
      <c r="Y33" s="36"/>
    </row>
    <row r="35" spans="25:25">
      <c r="Y35" s="9"/>
    </row>
  </sheetData>
  <sheetProtection password="CDC6" sheet="1" objects="1" scenarios="1"/>
  <phoneticPr fontId="4"/>
  <hyperlinks>
    <hyperlink ref="B30" location="CNC!C14" display="CNC!C14"/>
  </hyperlinks>
  <pageMargins left="0" right="0" top="0" bottom="0" header="0" footer="0"/>
  <pageSetup paperSize="9" orientation="portrait" blackAndWhite="1"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CNC</vt:lpstr>
      <vt:lpstr>INFO</vt:lpstr>
      <vt:lpstr>CNC!Nyomtatási_terület</vt:lpstr>
      <vt:lpstr>INFO!Nyomtatási_terület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Schmidt</dc:creator>
  <cp:lastModifiedBy>Bánkuti József</cp:lastModifiedBy>
  <cp:lastPrinted>2018-05-08T08:22:58Z</cp:lastPrinted>
  <dcterms:created xsi:type="dcterms:W3CDTF">2007-04-10T09:31:00Z</dcterms:created>
  <dcterms:modified xsi:type="dcterms:W3CDTF">2019-04-25T12:59:37Z</dcterms:modified>
</cp:coreProperties>
</file>